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05" windowHeight="8745" tabRatio="727" firstSheet="1" activeTab="1"/>
  </bookViews>
  <sheets>
    <sheet name="所得計算R5" sheetId="1" state="hidden" r:id="rId1"/>
    <sheet name="試算シミュレーション" sheetId="2" r:id="rId2"/>
  </sheets>
  <definedNames>
    <definedName name="_xlfn.IFERROR" hidden="1">#NAME?</definedName>
    <definedName name="_xlnm.Print_Area" localSheetId="1">'試算シミュレーション'!$A$1:$N$96</definedName>
  </definedNames>
  <calcPr fullCalcOnLoad="1"/>
</workbook>
</file>

<file path=xl/sharedStrings.xml><?xml version="1.0" encoding="utf-8"?>
<sst xmlns="http://schemas.openxmlformats.org/spreadsheetml/2006/main" count="318" uniqueCount="150">
  <si>
    <t>基礎控除額</t>
  </si>
  <si>
    <t>医療分</t>
  </si>
  <si>
    <t>介護分</t>
  </si>
  <si>
    <t xml:space="preserve">     給与所得表</t>
  </si>
  <si>
    <t xml:space="preserve">      年金所得表</t>
  </si>
  <si>
    <t>給与収入</t>
  </si>
  <si>
    <t>年金65未満</t>
  </si>
  <si>
    <t>年金収入</t>
  </si>
  <si>
    <t>65以上</t>
  </si>
  <si>
    <t>（65歳未満）</t>
  </si>
  <si>
    <t>（65歳以上）</t>
  </si>
  <si>
    <t>年度別</t>
  </si>
  <si>
    <t>均等割</t>
  </si>
  <si>
    <t>平等割</t>
  </si>
  <si>
    <t>医療</t>
  </si>
  <si>
    <t>介護</t>
  </si>
  <si>
    <t>均等割</t>
  </si>
  <si>
    <t>所得割</t>
  </si>
  <si>
    <t>限度額</t>
  </si>
  <si>
    <t>返す値</t>
  </si>
  <si>
    <t>基礎控除</t>
  </si>
  <si>
    <t>高齢者支援分</t>
  </si>
  <si>
    <t>医療＋
支援＋
介護</t>
  </si>
  <si>
    <t>支援</t>
  </si>
  <si>
    <t>均等割</t>
  </si>
  <si>
    <t>軽減前</t>
  </si>
  <si>
    <t>軽減</t>
  </si>
  <si>
    <t>軽減判定</t>
  </si>
  <si>
    <t>年金年齢（65歳未満）</t>
  </si>
  <si>
    <t>年金年齢（65歳以上）</t>
  </si>
  <si>
    <t>所得の合計</t>
  </si>
  <si>
    <t>２割軽減の基準</t>
  </si>
  <si>
    <t>軽減（７割）</t>
  </si>
  <si>
    <t>５割軽減の基準</t>
  </si>
  <si>
    <t>７割軽減の基準</t>
  </si>
  <si>
    <t>軽減判定所得</t>
  </si>
  <si>
    <t>令和</t>
  </si>
  <si>
    <t>５割軽減の基準</t>
  </si>
  <si>
    <t>２割軽減の基準</t>
  </si>
  <si>
    <t>給与所得者等の数</t>
  </si>
  <si>
    <t>65歳以上</t>
  </si>
  <si>
    <t>給与収入</t>
  </si>
  <si>
    <t>( 擬主用）給与所得表</t>
  </si>
  <si>
    <t>年金受給者の数</t>
  </si>
  <si>
    <t>軽減判定に用いる給与所得者等の数</t>
  </si>
  <si>
    <t>課税対象所得額</t>
  </si>
  <si>
    <t>介護２号該当</t>
  </si>
  <si>
    <t>国保加入者</t>
  </si>
  <si>
    <t>加入者①</t>
  </si>
  <si>
    <t>加入者②</t>
  </si>
  <si>
    <t>加入者③</t>
  </si>
  <si>
    <t>加入者④</t>
  </si>
  <si>
    <t>保険税率</t>
  </si>
  <si>
    <t>所得割額</t>
  </si>
  <si>
    <t>加入者数</t>
  </si>
  <si>
    <t>税額</t>
  </si>
  <si>
    <t>均等割額</t>
  </si>
  <si>
    <t>医療給付費分</t>
  </si>
  <si>
    <t>後期高齢者
支援金分</t>
  </si>
  <si>
    <t>世帯数</t>
  </si>
  <si>
    <t>所得割（A)</t>
  </si>
  <si>
    <t>均等割（1人あたり）（B)</t>
  </si>
  <si>
    <t>平等割（１世帯あたり）（C)</t>
  </si>
  <si>
    <t>給与収入</t>
  </si>
  <si>
    <t>給与所得</t>
  </si>
  <si>
    <t>以下</t>
  </si>
  <si>
    <t>賦課限度額</t>
  </si>
  <si>
    <t>≪軽減判定≫</t>
  </si>
  <si>
    <t>積算合計（D)
（A+B+C)</t>
  </si>
  <si>
    <t>軽減額（H)</t>
  </si>
  <si>
    <t>（社会保険の任意継続との比較の際に参考としてください。）</t>
  </si>
  <si>
    <t>軽減判定結果</t>
  </si>
  <si>
    <t xml:space="preserve">国 民 健 康 保 険 税 概 算 算 出 表 </t>
  </si>
  <si>
    <t>年度の保険税額の試算　　</t>
  </si>
  <si>
    <r>
      <t xml:space="preserve">①年齢
</t>
    </r>
    <r>
      <rPr>
        <b/>
        <sz val="7"/>
        <rFont val="游ゴシック"/>
        <family val="3"/>
      </rPr>
      <t>（４月１日基準）</t>
    </r>
  </si>
  <si>
    <t>②給与収入
（給与所得）</t>
  </si>
  <si>
    <t>③年金収入（※１月１日基準）</t>
  </si>
  <si>
    <t>⑥失業軽減</t>
  </si>
  <si>
    <t>擬制世帯主</t>
  </si>
  <si>
    <t>年金収入
（65歳以上）</t>
  </si>
  <si>
    <t>年金収入
（65歳未満）</t>
  </si>
  <si>
    <t>④総合課税所得</t>
  </si>
  <si>
    <t>⑤分離課税所得</t>
  </si>
  <si>
    <t>昭和32年1月2日以降に生まれた人</t>
  </si>
  <si>
    <t>昭和32年1月2日以前に生まれた人</t>
  </si>
  <si>
    <t>未就学児の数</t>
  </si>
  <si>
    <t>軽減（２割）</t>
  </si>
  <si>
    <t>軽減（５割）</t>
  </si>
  <si>
    <t>軽減額（I)</t>
  </si>
  <si>
    <t>≪未就学児軽減≫</t>
  </si>
  <si>
    <t>未就学児軽減</t>
  </si>
  <si>
    <t>軽減判定</t>
  </si>
  <si>
    <t>均等割</t>
  </si>
  <si>
    <t>軽減なし</t>
  </si>
  <si>
    <t>軽減後均等割</t>
  </si>
  <si>
    <t>未就学児の数</t>
  </si>
  <si>
    <t>軽減判定所得の計算</t>
  </si>
  <si>
    <t>返す値</t>
  </si>
  <si>
    <t>昭和33年1月2日以降に生まれた人</t>
  </si>
  <si>
    <t>昭和33年1月2日以前に生まれた人</t>
  </si>
  <si>
    <t>⑤分離課税所得（山林所得、土地建物の譲渡所得、株式等の譲渡所得、配当所得等）がある方</t>
  </si>
  <si>
    <t>⑥会社の倒産や解雇などにより失業し、離職時点で年齢が65歳未満の方は、ドロップダウンリストで”有”を選択してください。</t>
  </si>
  <si>
    <t>の該当箇所に入力してください。</t>
  </si>
  <si>
    <t>　※「雇用保険受給資格者証」の「離職理由」が「11.12.21.22.23.31.32.33.34」のいずれかの番号の方が対象です。</t>
  </si>
  <si>
    <t>　加入者の年齢及び前年の収入状況</t>
  </si>
  <si>
    <t>　擬制世帯主の前年の収入状況</t>
  </si>
  <si>
    <t>【参考】１月当たりの税額</t>
  </si>
  <si>
    <t>平等割</t>
  </si>
  <si>
    <t>( 擬主用）年金所得表</t>
  </si>
  <si>
    <t>年金所得</t>
  </si>
  <si>
    <t>年金所得</t>
  </si>
  <si>
    <t>④総合課税所得（営業所得、不動産所得、配当所得、その他の雑所得、一時所得等）がある方</t>
  </si>
  <si>
    <t>所得調整控除額</t>
  </si>
  <si>
    <t>※注意　：　試算した税額は確定額ではありませんので、あくまでも参考としてご利用ください。</t>
  </si>
  <si>
    <t>積算合計（E)
（A+B+C)</t>
  </si>
  <si>
    <t>積算合計（F)
（A+B+C)</t>
  </si>
  <si>
    <t>合計所得金額</t>
  </si>
  <si>
    <t>加入者①</t>
  </si>
  <si>
    <t>後期高齢者支援金分</t>
  </si>
  <si>
    <t>税額</t>
  </si>
  <si>
    <t>加入者②</t>
  </si>
  <si>
    <t>加入者③</t>
  </si>
  <si>
    <t>加入者④</t>
  </si>
  <si>
    <t>平等割額</t>
  </si>
  <si>
    <t>所得割</t>
  </si>
  <si>
    <t>均等割</t>
  </si>
  <si>
    <t>加入者①
積算合計</t>
  </si>
  <si>
    <t>加入者②
積算合計</t>
  </si>
  <si>
    <t>加入者③
積算合計</t>
  </si>
  <si>
    <t>加入者④
積算合計</t>
  </si>
  <si>
    <t>平等割額
積算合計</t>
  </si>
  <si>
    <t>介護納付金分 ※40才以上65才未満</t>
  </si>
  <si>
    <t>介護納付金分
※40才以上
　65才未満</t>
  </si>
  <si>
    <t>・国保健康保険の被保険者でない世帯主を擬制世帯主といいます。１で加入者として入力した場合は、この項目には入力しないでください。</t>
  </si>
  <si>
    <t>・擬制世帯主の所得は、保険税の計算には含みませんが、保険税の軽減措置の判定に用います。１と同様の考え方で入力してください。</t>
  </si>
  <si>
    <t>医療給付費分</t>
  </si>
  <si>
    <t>後期高齢者支援金分</t>
  </si>
  <si>
    <t>介護納付金分</t>
  </si>
  <si>
    <t>年税額
（D+E+F）－（H＋I）
※100円未満端数処理</t>
  </si>
  <si>
    <t>※注意　：　試算した税額は端数処理等の関係で年税額と差異がありますので、あくまでも参考としてご利用ください。</t>
  </si>
  <si>
    <t>総合課税所得</t>
  </si>
  <si>
    <t>分離課税所得</t>
  </si>
  <si>
    <t>擬制世帯主の所得</t>
  </si>
  <si>
    <t>　入力は以上です。試算結果は、次ページをご覧ください。</t>
  </si>
  <si>
    <t>調整控除
△10万</t>
  </si>
  <si>
    <t>年金(65↑)
△15万</t>
  </si>
  <si>
    <t>　⇒「確定申告書第三表」又は「市町村民税申告書（分離課税等用）」の、「所得金額」欄に記載されている金額の合計を入力してください。</t>
  </si>
  <si>
    <t>　⇒「確定申告書第一表」又は「市町村民税申告書」の、「所得金額」欄に記載されている金額の合計を入力してください。（給与所得及び雑所得のうち公的年金等に係る所得を除く）</t>
  </si>
  <si>
    <t>昭和34年1月2日以降に生まれた人</t>
  </si>
  <si>
    <t>昭和34年1月2日以前に生まれた人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</si>
</sst>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#&quot;人&quot;"/>
    <numFmt numFmtId="178" formatCode="0.0%"/>
    <numFmt numFmtId="179" formatCode="\ #,###&quot;円&quot;"/>
    <numFmt numFmtId="180" formatCode="\ \ #,###&quot;円&quot;"/>
    <numFmt numFmtId="181" formatCode="#,##0&quot;ヶ&quot;&quot;月&quot;"/>
    <numFmt numFmtId="182" formatCode="&quot;各&quot;\ #,###&quot;円&quot;"/>
    <numFmt numFmtId="183" formatCode="#,##0_ "/>
    <numFmt numFmtId="184" formatCode="#,##0_);[Red]\(#,##0\)"/>
    <numFmt numFmtId="185" formatCode="#,##0.0000_);[Red]\(#,##0.0000\)"/>
    <numFmt numFmtId="186" formatCode="#,##0_ ;[Red]\-#,##0\ "/>
    <numFmt numFmtId="187" formatCode="&quot;②給与収入のある方は、令和&quot;\&amp;0\&amp;&quot;年分給与所得の源泉徴収票の「支払金額」欄に記載している金額（複数ある場合は、合算額）を入力してください。&quot;"/>
    <numFmt numFmtId="188" formatCode="&quot;②給与収入のある方は、令和&quot;0&quot;年分給与所得の源泉徴収票の「支払金額」欄に記載している金額（複数ある場合は、合算額）を入力してください。&quot;"/>
    <numFmt numFmtId="189" formatCode="[$-411]ggge&quot;年&quot;m&quot;月&quot;d&quot;日&quot;;@"/>
    <numFmt numFmtId="190" formatCode="&quot;①加入者全員の、&quot;[$-411]ggge&quot;年&quot;m&quot;月&quot;d&quot;日&quot;;@&quot;時点の年齢を入力してください。&quot;"/>
    <numFmt numFmtId="191" formatCode="&quot;①加入者全員の、&quot;[$-411]ggge&quot;年&quot;m&quot;月&quot;d&quot;日時点の年齢を入力してください。&quot;"/>
    <numFmt numFmtId="192" formatCode="&quot;③公的年金収入がある方は、令和&quot;0&quot;年分公的年金等の源泉徴収票の「支払金額」欄に記載している金額（複数ある場合は、合算額）を入力してください。&quot;"/>
    <numFmt numFmtId="193" formatCode="&quot;　※　公的年金収入は、&quot;[$-411]ggge&quot;年&quot;m&quot;月&quot;d&quot;日時点の年齢（65歳未満、65歳以上）によって、公的年金控除額が変わりますので、正しい欄に入力してください。&quot;"/>
    <numFmt numFmtId="194" formatCode="&quot;課税額　=　年税額　×”#,##0&quot;&quot;ヶ&quot;&quot;月&quot;"/>
    <numFmt numFmtId="195" formatCode="&quot;課税額　=　年税額　×&quot;0&quot;ヶ月&quot;"/>
    <numFmt numFmtId="196" formatCode="&quot;課税額　=　年税額　×&quot;0&quot;ヶ月　＝&quot;"/>
    <numFmt numFmtId="197" formatCode="0&quot;月&quot;"/>
    <numFmt numFmtId="198" formatCode="0&quot;月～3月&quot;"/>
    <numFmt numFmtId="199" formatCode="&quot;課税額　=　年税額　×　&quot;0&quot;ヶ月　＝&quot;"/>
    <numFmt numFmtId="200" formatCode="0&quot;月～2月&quot;"/>
    <numFmt numFmtId="201" formatCode="#,##0.0_);[Red]\(#,##0.0\)"/>
    <numFmt numFmtId="202" formatCode="#,##0.00_);[Red]\(#,##0.00\)"/>
    <numFmt numFmtId="203" formatCode="#,##0.000_);[Red]\(#,##0.000\)"/>
    <numFmt numFmtId="204" formatCode="#,##0.00000_);[Red]\(#,##0.00000\)"/>
    <numFmt numFmtId="205" formatCode="0&quot;世帯&quot;"/>
    <numFmt numFmtId="206" formatCode="#&quot;世帯&quot;"/>
    <numFmt numFmtId="207" formatCode="&quot;令和&quot;0&quot;令和４年度　石川町国民健康保険税　税額試算結果&quot;"/>
    <numFmt numFmtId="208" formatCode="&quot;令和&quot;0&quot;年度　石川町国民健康保険税　税額試算結果&quot;"/>
    <numFmt numFmtId="209" formatCode="[DBNum3]&quot;令和&quot;0&quot;年度　石川町国民健康保険税　税額試算結果&quot;"/>
    <numFmt numFmtId="210" formatCode="[DBNum3]&quot;令和&quot;0&quot;年度　石川町国民健康保険税　税額試算結果（個人別明細）&quot;"/>
    <numFmt numFmtId="211" formatCode="#,##0&quot;円&quot;"/>
    <numFmt numFmtId="212" formatCode="#,##0&quot;人&quot;"/>
    <numFmt numFmtId="213" formatCode="&quot;　※公的年金収入は、&quot;[$-411]ggge&quot;年&quot;m&quot;月&quot;d&quot;日時点の年齢（65歳未満、65歳以上）によって、公的年金控除額が変わりますので、正しい欄に入力してください。&quot;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2"/>
      <name val="HGSｺﾞｼｯｸE"/>
      <family val="3"/>
    </font>
    <font>
      <sz val="10"/>
      <name val="HGSｺﾞｼｯｸE"/>
      <family val="3"/>
    </font>
    <font>
      <sz val="11"/>
      <name val="游ゴシック"/>
      <family val="3"/>
    </font>
    <font>
      <sz val="12"/>
      <name val="游ゴシック"/>
      <family val="3"/>
    </font>
    <font>
      <sz val="14"/>
      <name val="游ゴシック"/>
      <family val="3"/>
    </font>
    <font>
      <sz val="10"/>
      <name val="游ゴシック"/>
      <family val="3"/>
    </font>
    <font>
      <b/>
      <sz val="12"/>
      <name val="游ゴシック"/>
      <family val="3"/>
    </font>
    <font>
      <b/>
      <sz val="14"/>
      <name val="游ゴシック"/>
      <family val="3"/>
    </font>
    <font>
      <b/>
      <sz val="11"/>
      <name val="游ゴシック"/>
      <family val="3"/>
    </font>
    <font>
      <b/>
      <sz val="16"/>
      <name val="游ゴシック"/>
      <family val="3"/>
    </font>
    <font>
      <b/>
      <sz val="7"/>
      <name val="游ゴシック"/>
      <family val="3"/>
    </font>
    <font>
      <b/>
      <sz val="22"/>
      <name val="游ゴシック"/>
      <family val="3"/>
    </font>
    <font>
      <b/>
      <sz val="22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b/>
      <sz val="20"/>
      <name val="HG丸ｺﾞｼｯｸM-PRO"/>
      <family val="3"/>
    </font>
    <font>
      <sz val="11"/>
      <color indexed="9"/>
      <name val="游ゴシック"/>
      <family val="3"/>
    </font>
    <font>
      <b/>
      <sz val="11"/>
      <color indexed="9"/>
      <name val="HG丸ｺﾞｼｯｸM-PRO"/>
      <family val="3"/>
    </font>
    <font>
      <sz val="12"/>
      <color indexed="9"/>
      <name val="游ゴシック"/>
      <family val="3"/>
    </font>
    <font>
      <sz val="10"/>
      <color indexed="9"/>
      <name val="游ゴシック"/>
      <family val="3"/>
    </font>
    <font>
      <sz val="12"/>
      <color indexed="9"/>
      <name val="HG丸ｺﾞｼｯｸM-PRO"/>
      <family val="3"/>
    </font>
    <font>
      <sz val="10"/>
      <color indexed="9"/>
      <name val="HG丸ｺﾞｼｯｸM-PRO"/>
      <family val="3"/>
    </font>
    <font>
      <sz val="13"/>
      <color indexed="9"/>
      <name val="ＭＳ ゴシック"/>
      <family val="3"/>
    </font>
    <font>
      <sz val="14"/>
      <color indexed="9"/>
      <name val="ＭＳ ゴシック"/>
      <family val="3"/>
    </font>
    <font>
      <b/>
      <sz val="18"/>
      <color indexed="10"/>
      <name val="游ゴシック"/>
      <family val="3"/>
    </font>
    <font>
      <b/>
      <sz val="22"/>
      <color indexed="9"/>
      <name val="HG丸ｺﾞｼｯｸM-PRO"/>
      <family val="3"/>
    </font>
    <font>
      <b/>
      <sz val="22"/>
      <color indexed="8"/>
      <name val="HG丸ｺﾞｼｯｸM-PRO"/>
      <family val="3"/>
    </font>
    <font>
      <sz val="18"/>
      <name val="HGP創英角ﾎﾟｯﾌﾟ体"/>
      <family val="3"/>
    </font>
    <font>
      <b/>
      <sz val="16"/>
      <color indexed="9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-0.2497799992561340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/>
      <protection/>
    </xf>
    <xf numFmtId="0" fontId="75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3" fillId="33" borderId="0" xfId="60" applyFont="1" applyFill="1">
      <alignment/>
      <protection/>
    </xf>
    <xf numFmtId="38" fontId="3" fillId="33" borderId="0" xfId="48" applyFont="1" applyFill="1" applyAlignment="1">
      <alignment/>
    </xf>
    <xf numFmtId="0" fontId="3" fillId="0" borderId="0" xfId="0" applyFont="1" applyAlignment="1">
      <alignment/>
    </xf>
    <xf numFmtId="0" fontId="3" fillId="34" borderId="0" xfId="60" applyFont="1" applyFill="1">
      <alignment/>
      <protection/>
    </xf>
    <xf numFmtId="38" fontId="3" fillId="34" borderId="0" xfId="48" applyFont="1" applyFill="1" applyAlignment="1">
      <alignment/>
    </xf>
    <xf numFmtId="0" fontId="3" fillId="0" borderId="0" xfId="0" applyFont="1" applyAlignment="1">
      <alignment horizontal="center"/>
    </xf>
    <xf numFmtId="186" fontId="3" fillId="35" borderId="0" xfId="60" applyNumberFormat="1" applyFont="1" applyFill="1">
      <alignment/>
      <protection/>
    </xf>
    <xf numFmtId="186" fontId="3" fillId="35" borderId="0" xfId="48" applyNumberFormat="1" applyFont="1" applyFill="1" applyAlignment="1">
      <alignment/>
    </xf>
    <xf numFmtId="0" fontId="3" fillId="35" borderId="0" xfId="60" applyFont="1" applyFill="1">
      <alignment/>
      <protection/>
    </xf>
    <xf numFmtId="38" fontId="3" fillId="35" borderId="0" xfId="48" applyFont="1" applyFill="1" applyAlignment="1">
      <alignment/>
    </xf>
    <xf numFmtId="0" fontId="3" fillId="0" borderId="0" xfId="60" applyFont="1">
      <alignment/>
      <protection/>
    </xf>
    <xf numFmtId="0" fontId="3" fillId="36" borderId="0" xfId="60" applyFont="1" applyFill="1" applyAlignment="1">
      <alignment horizontal="center"/>
      <protection/>
    </xf>
    <xf numFmtId="38" fontId="3" fillId="36" borderId="0" xfId="48" applyFont="1" applyFill="1" applyAlignment="1">
      <alignment/>
    </xf>
    <xf numFmtId="0" fontId="3" fillId="37" borderId="0" xfId="60" applyFont="1" applyFill="1">
      <alignment/>
      <protection/>
    </xf>
    <xf numFmtId="38" fontId="3" fillId="37" borderId="0" xfId="48" applyFont="1" applyFill="1" applyAlignment="1">
      <alignment/>
    </xf>
    <xf numFmtId="0" fontId="3" fillId="33" borderId="0" xfId="60" applyFont="1" applyFill="1" applyAlignment="1">
      <alignment horizontal="center"/>
      <protection/>
    </xf>
    <xf numFmtId="0" fontId="3" fillId="38" borderId="0" xfId="60" applyFont="1" applyFill="1">
      <alignment/>
      <protection/>
    </xf>
    <xf numFmtId="38" fontId="3" fillId="38" borderId="0" xfId="48" applyFont="1" applyFill="1" applyAlignment="1">
      <alignment/>
    </xf>
    <xf numFmtId="186" fontId="3" fillId="39" borderId="0" xfId="60" applyNumberFormat="1" applyFont="1" applyFill="1">
      <alignment/>
      <protection/>
    </xf>
    <xf numFmtId="186" fontId="3" fillId="39" borderId="0" xfId="48" applyNumberFormat="1" applyFont="1" applyFill="1" applyAlignment="1">
      <alignment/>
    </xf>
    <xf numFmtId="0" fontId="3" fillId="4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8" fontId="3" fillId="0" borderId="0" xfId="48" applyFont="1" applyAlignment="1">
      <alignment/>
    </xf>
    <xf numFmtId="0" fontId="3" fillId="0" borderId="0" xfId="0" applyFont="1" applyFill="1" applyAlignment="1">
      <alignment/>
    </xf>
    <xf numFmtId="38" fontId="3" fillId="0" borderId="0" xfId="48" applyFont="1" applyFill="1" applyAlignment="1">
      <alignment/>
    </xf>
    <xf numFmtId="38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41" borderId="0" xfId="0" applyFont="1" applyFill="1" applyAlignment="1">
      <alignment/>
    </xf>
    <xf numFmtId="185" fontId="3" fillId="41" borderId="0" xfId="0" applyNumberFormat="1" applyFont="1" applyFill="1" applyAlignment="1">
      <alignment/>
    </xf>
    <xf numFmtId="184" fontId="3" fillId="41" borderId="0" xfId="0" applyNumberFormat="1" applyFont="1" applyFill="1" applyAlignment="1">
      <alignment/>
    </xf>
    <xf numFmtId="38" fontId="3" fillId="0" borderId="12" xfId="48" applyFont="1" applyFill="1" applyBorder="1" applyAlignment="1">
      <alignment/>
    </xf>
    <xf numFmtId="38" fontId="3" fillId="0" borderId="13" xfId="48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3" fillId="0" borderId="0" xfId="60" applyFont="1" applyFill="1">
      <alignment/>
      <protection/>
    </xf>
    <xf numFmtId="38" fontId="3" fillId="0" borderId="0" xfId="60" applyNumberFormat="1" applyFont="1" applyFill="1">
      <alignment/>
      <protection/>
    </xf>
    <xf numFmtId="0" fontId="5" fillId="0" borderId="0" xfId="0" applyFont="1" applyAlignment="1">
      <alignment/>
    </xf>
    <xf numFmtId="38" fontId="5" fillId="0" borderId="0" xfId="48" applyFont="1" applyAlignment="1">
      <alignment/>
    </xf>
    <xf numFmtId="176" fontId="5" fillId="0" borderId="0" xfId="0" applyNumberFormat="1" applyFont="1" applyAlignment="1">
      <alignment/>
    </xf>
    <xf numFmtId="176" fontId="5" fillId="33" borderId="0" xfId="0" applyNumberFormat="1" applyFont="1" applyFill="1" applyAlignment="1">
      <alignment/>
    </xf>
    <xf numFmtId="38" fontId="5" fillId="0" borderId="0" xfId="48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8" fontId="3" fillId="33" borderId="0" xfId="0" applyNumberFormat="1" applyFont="1" applyFill="1" applyAlignment="1">
      <alignment/>
    </xf>
    <xf numFmtId="0" fontId="3" fillId="42" borderId="0" xfId="0" applyFont="1" applyFill="1" applyAlignment="1">
      <alignment/>
    </xf>
    <xf numFmtId="38" fontId="3" fillId="42" borderId="0" xfId="48" applyFont="1" applyFill="1" applyAlignment="1">
      <alignment/>
    </xf>
    <xf numFmtId="38" fontId="3" fillId="42" borderId="0" xfId="0" applyNumberFormat="1" applyFont="1" applyFill="1" applyAlignment="1">
      <alignment/>
    </xf>
    <xf numFmtId="0" fontId="3" fillId="0" borderId="14" xfId="0" applyFont="1" applyBorder="1" applyAlignment="1">
      <alignment horizontal="center"/>
    </xf>
    <xf numFmtId="38" fontId="3" fillId="0" borderId="15" xfId="48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8" fontId="3" fillId="0" borderId="17" xfId="48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38" fontId="3" fillId="0" borderId="21" xfId="60" applyNumberFormat="1" applyFont="1" applyFill="1" applyBorder="1">
      <alignment/>
      <protection/>
    </xf>
    <xf numFmtId="38" fontId="3" fillId="0" borderId="22" xfId="48" applyFont="1" applyFill="1" applyBorder="1" applyAlignment="1">
      <alignment/>
    </xf>
    <xf numFmtId="38" fontId="3" fillId="0" borderId="23" xfId="60" applyNumberFormat="1" applyFont="1" applyFill="1" applyBorder="1">
      <alignment/>
      <protection/>
    </xf>
    <xf numFmtId="38" fontId="3" fillId="0" borderId="24" xfId="60" applyNumberFormat="1" applyFont="1" applyFill="1" applyBorder="1">
      <alignment/>
      <protection/>
    </xf>
    <xf numFmtId="0" fontId="3" fillId="0" borderId="25" xfId="0" applyFont="1" applyBorder="1" applyAlignment="1">
      <alignment horizontal="center"/>
    </xf>
    <xf numFmtId="38" fontId="3" fillId="0" borderId="14" xfId="48" applyFont="1" applyFill="1" applyBorder="1" applyAlignment="1">
      <alignment/>
    </xf>
    <xf numFmtId="38" fontId="3" fillId="0" borderId="15" xfId="48" applyFont="1" applyFill="1" applyBorder="1" applyAlignment="1">
      <alignment/>
    </xf>
    <xf numFmtId="38" fontId="3" fillId="0" borderId="26" xfId="60" applyNumberFormat="1" applyFont="1" applyFill="1" applyBorder="1">
      <alignment/>
      <protection/>
    </xf>
    <xf numFmtId="38" fontId="3" fillId="0" borderId="16" xfId="48" applyFont="1" applyFill="1" applyBorder="1" applyAlignment="1">
      <alignment/>
    </xf>
    <xf numFmtId="0" fontId="3" fillId="41" borderId="10" xfId="0" applyFont="1" applyFill="1" applyBorder="1" applyAlignment="1">
      <alignment horizontal="center"/>
    </xf>
    <xf numFmtId="38" fontId="3" fillId="41" borderId="10" xfId="48" applyFont="1" applyFill="1" applyBorder="1" applyAlignment="1">
      <alignment/>
    </xf>
    <xf numFmtId="38" fontId="3" fillId="41" borderId="10" xfId="60" applyNumberFormat="1" applyFont="1" applyFill="1" applyBorder="1">
      <alignment/>
      <protection/>
    </xf>
    <xf numFmtId="0" fontId="3" fillId="41" borderId="10" xfId="60" applyFont="1" applyFill="1" applyBorder="1">
      <alignment/>
      <protection/>
    </xf>
    <xf numFmtId="38" fontId="3" fillId="0" borderId="27" xfId="48" applyFont="1" applyFill="1" applyBorder="1" applyAlignment="1">
      <alignment/>
    </xf>
    <xf numFmtId="0" fontId="3" fillId="0" borderId="10" xfId="0" applyFont="1" applyBorder="1" applyAlignment="1">
      <alignment horizontal="center"/>
    </xf>
    <xf numFmtId="38" fontId="3" fillId="0" borderId="10" xfId="48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77" fontId="3" fillId="0" borderId="10" xfId="0" applyNumberFormat="1" applyFont="1" applyBorder="1" applyAlignment="1">
      <alignment vertical="center"/>
    </xf>
    <xf numFmtId="38" fontId="3" fillId="0" borderId="33" xfId="60" applyNumberFormat="1" applyFont="1" applyFill="1" applyBorder="1">
      <alignment/>
      <protection/>
    </xf>
    <xf numFmtId="38" fontId="3" fillId="0" borderId="20" xfId="60" applyNumberFormat="1" applyFont="1" applyFill="1" applyBorder="1">
      <alignment/>
      <protection/>
    </xf>
    <xf numFmtId="38" fontId="3" fillId="41" borderId="32" xfId="60" applyNumberFormat="1" applyFont="1" applyFill="1" applyBorder="1">
      <alignment/>
      <protection/>
    </xf>
    <xf numFmtId="38" fontId="3" fillId="0" borderId="34" xfId="48" applyFont="1" applyFill="1" applyBorder="1" applyAlignment="1">
      <alignment/>
    </xf>
    <xf numFmtId="38" fontId="3" fillId="0" borderId="16" xfId="48" applyFont="1" applyBorder="1" applyAlignment="1">
      <alignment/>
    </xf>
    <xf numFmtId="0" fontId="3" fillId="41" borderId="32" xfId="60" applyFont="1" applyFill="1" applyBorder="1">
      <alignment/>
      <protection/>
    </xf>
    <xf numFmtId="0" fontId="4" fillId="0" borderId="0" xfId="0" applyNumberFormat="1" applyFont="1" applyBorder="1" applyAlignment="1">
      <alignment horizontal="right" vertical="center"/>
    </xf>
    <xf numFmtId="38" fontId="3" fillId="0" borderId="24" xfId="48" applyNumberFormat="1" applyFont="1" applyBorder="1" applyAlignment="1">
      <alignment vertical="center"/>
    </xf>
    <xf numFmtId="38" fontId="3" fillId="0" borderId="35" xfId="48" applyNumberFormat="1" applyFont="1" applyFill="1" applyBorder="1" applyAlignment="1">
      <alignment/>
    </xf>
    <xf numFmtId="38" fontId="3" fillId="0" borderId="36" xfId="48" applyNumberFormat="1" applyFont="1" applyFill="1" applyBorder="1" applyAlignment="1">
      <alignment/>
    </xf>
    <xf numFmtId="38" fontId="3" fillId="0" borderId="22" xfId="48" applyNumberFormat="1" applyFont="1" applyBorder="1" applyAlignment="1">
      <alignment vertical="center"/>
    </xf>
    <xf numFmtId="38" fontId="3" fillId="0" borderId="12" xfId="48" applyNumberFormat="1" applyFont="1" applyFill="1" applyBorder="1" applyAlignment="1">
      <alignment/>
    </xf>
    <xf numFmtId="38" fontId="3" fillId="0" borderId="17" xfId="48" applyNumberFormat="1" applyFont="1" applyFill="1" applyBorder="1" applyAlignment="1">
      <alignment/>
    </xf>
    <xf numFmtId="38" fontId="3" fillId="0" borderId="22" xfId="60" applyNumberFormat="1" applyFont="1" applyFill="1" applyBorder="1">
      <alignment/>
      <protection/>
    </xf>
    <xf numFmtId="38" fontId="3" fillId="0" borderId="22" xfId="48" applyNumberFormat="1" applyFont="1" applyFill="1" applyBorder="1" applyAlignment="1">
      <alignment/>
    </xf>
    <xf numFmtId="38" fontId="3" fillId="0" borderId="13" xfId="48" applyNumberFormat="1" applyFont="1" applyFill="1" applyBorder="1" applyAlignment="1">
      <alignment/>
    </xf>
    <xf numFmtId="38" fontId="3" fillId="0" borderId="33" xfId="48" applyNumberFormat="1" applyFont="1" applyFill="1" applyBorder="1" applyAlignment="1">
      <alignment/>
    </xf>
    <xf numFmtId="38" fontId="3" fillId="0" borderId="14" xfId="48" applyNumberFormat="1" applyFont="1" applyFill="1" applyBorder="1" applyAlignment="1">
      <alignment/>
    </xf>
    <xf numFmtId="38" fontId="3" fillId="0" borderId="15" xfId="48" applyNumberFormat="1" applyFont="1" applyFill="1" applyBorder="1" applyAlignment="1">
      <alignment/>
    </xf>
    <xf numFmtId="38" fontId="3" fillId="0" borderId="37" xfId="48" applyNumberFormat="1" applyFont="1" applyFill="1" applyBorder="1" applyAlignment="1">
      <alignment/>
    </xf>
    <xf numFmtId="38" fontId="3" fillId="0" borderId="38" xfId="48" applyNumberFormat="1" applyFont="1" applyFill="1" applyBorder="1" applyAlignment="1">
      <alignment/>
    </xf>
    <xf numFmtId="38" fontId="3" fillId="0" borderId="16" xfId="48" applyNumberFormat="1" applyFont="1" applyFill="1" applyBorder="1" applyAlignment="1">
      <alignment/>
    </xf>
    <xf numFmtId="38" fontId="3" fillId="41" borderId="10" xfId="48" applyNumberFormat="1" applyFont="1" applyFill="1" applyBorder="1" applyAlignment="1">
      <alignment/>
    </xf>
    <xf numFmtId="38" fontId="3" fillId="41" borderId="10" xfId="0" applyNumberFormat="1" applyFont="1" applyFill="1" applyBorder="1" applyAlignment="1">
      <alignment/>
    </xf>
    <xf numFmtId="10" fontId="3" fillId="42" borderId="0" xfId="42" applyNumberFormat="1" applyFont="1" applyFill="1" applyAlignment="1">
      <alignment/>
    </xf>
    <xf numFmtId="10" fontId="3" fillId="33" borderId="0" xfId="42" applyNumberFormat="1" applyFont="1" applyFill="1" applyAlignment="1">
      <alignment/>
    </xf>
    <xf numFmtId="10" fontId="3" fillId="0" borderId="0" xfId="42" applyNumberFormat="1" applyFont="1" applyFill="1" applyAlignment="1">
      <alignment/>
    </xf>
    <xf numFmtId="0" fontId="10" fillId="43" borderId="39" xfId="0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Alignment="1" applyProtection="1">
      <alignment vertical="center" shrinkToFit="1"/>
      <protection/>
    </xf>
    <xf numFmtId="0" fontId="15" fillId="0" borderId="40" xfId="0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 shrinkToFit="1"/>
      <protection/>
    </xf>
    <xf numFmtId="0" fontId="30" fillId="0" borderId="0" xfId="0" applyFont="1" applyFill="1" applyAlignment="1" applyProtection="1">
      <alignment shrinkToFit="1"/>
      <protection/>
    </xf>
    <xf numFmtId="0" fontId="6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Alignment="1" applyProtection="1">
      <alignment vertical="center" shrinkToFit="1"/>
      <protection/>
    </xf>
    <xf numFmtId="0" fontId="18" fillId="0" borderId="0" xfId="0" applyFont="1" applyFill="1" applyAlignment="1" applyProtection="1">
      <alignment shrinkToFit="1"/>
      <protection/>
    </xf>
    <xf numFmtId="0" fontId="31" fillId="0" borderId="0" xfId="0" applyFont="1" applyFill="1" applyAlignment="1" applyProtection="1">
      <alignment shrinkToFit="1"/>
      <protection/>
    </xf>
    <xf numFmtId="0" fontId="18" fillId="0" borderId="0" xfId="0" applyFont="1" applyAlignment="1" applyProtection="1">
      <alignment vertical="center" shrinkToFit="1"/>
      <protection/>
    </xf>
    <xf numFmtId="0" fontId="18" fillId="0" borderId="0" xfId="0" applyFont="1" applyAlignment="1" applyProtection="1">
      <alignment shrinkToFit="1"/>
      <protection/>
    </xf>
    <xf numFmtId="0" fontId="15" fillId="0" borderId="41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 applyProtection="1">
      <alignment horizontal="right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0" fontId="11" fillId="39" borderId="1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shrinkToFit="1"/>
      <protection/>
    </xf>
    <xf numFmtId="0" fontId="7" fillId="0" borderId="0" xfId="0" applyFont="1" applyFill="1" applyAlignment="1" applyProtection="1">
      <alignment shrinkToFit="1"/>
      <protection/>
    </xf>
    <xf numFmtId="0" fontId="32" fillId="0" borderId="0" xfId="0" applyFont="1" applyFill="1" applyAlignment="1" applyProtection="1">
      <alignment shrinkToFit="1"/>
      <protection/>
    </xf>
    <xf numFmtId="0" fontId="7" fillId="0" borderId="0" xfId="0" applyFont="1" applyAlignment="1" applyProtection="1">
      <alignment vertical="center" shrinkToFit="1"/>
      <protection/>
    </xf>
    <xf numFmtId="0" fontId="8" fillId="0" borderId="0" xfId="0" applyFont="1" applyFill="1" applyAlignment="1" applyProtection="1">
      <alignment shrinkToFit="1"/>
      <protection/>
    </xf>
    <xf numFmtId="0" fontId="33" fillId="0" borderId="0" xfId="0" applyFont="1" applyFill="1" applyAlignment="1" applyProtection="1">
      <alignment shrinkToFit="1"/>
      <protection/>
    </xf>
    <xf numFmtId="0" fontId="7" fillId="0" borderId="0" xfId="0" applyFont="1" applyFill="1" applyAlignment="1" applyProtection="1">
      <alignment vertical="center" shrinkToFit="1"/>
      <protection/>
    </xf>
    <xf numFmtId="0" fontId="20" fillId="0" borderId="0" xfId="0" applyFont="1" applyFill="1" applyAlignment="1" applyProtection="1">
      <alignment shrinkToFit="1"/>
      <protection/>
    </xf>
    <xf numFmtId="0" fontId="20" fillId="0" borderId="0" xfId="0" applyFont="1" applyFill="1" applyAlignment="1" applyProtection="1">
      <alignment vertical="center" shrinkToFit="1"/>
      <protection/>
    </xf>
    <xf numFmtId="0" fontId="21" fillId="0" borderId="0" xfId="0" applyFont="1" applyAlignment="1" applyProtection="1">
      <alignment vertical="center" shrinkToFit="1"/>
      <protection/>
    </xf>
    <xf numFmtId="0" fontId="9" fillId="0" borderId="0" xfId="0" applyFont="1" applyAlignment="1" applyProtection="1">
      <alignment vertical="center" shrinkToFit="1"/>
      <protection/>
    </xf>
    <xf numFmtId="0" fontId="9" fillId="0" borderId="0" xfId="0" applyFont="1" applyFill="1" applyAlignment="1" applyProtection="1">
      <alignment shrinkToFit="1"/>
      <protection/>
    </xf>
    <xf numFmtId="0" fontId="9" fillId="0" borderId="0" xfId="0" applyFont="1" applyAlignment="1" applyProtection="1">
      <alignment shrinkToFit="1"/>
      <protection/>
    </xf>
    <xf numFmtId="0" fontId="9" fillId="0" borderId="0" xfId="0" applyFont="1" applyFill="1" applyAlignment="1" applyProtection="1">
      <alignment vertical="center" shrinkToFit="1"/>
      <protection/>
    </xf>
    <xf numFmtId="0" fontId="20" fillId="0" borderId="0" xfId="0" applyFont="1" applyFill="1" applyAlignment="1" applyProtection="1">
      <alignment horizontal="right" vertical="center" shrinkToFit="1"/>
      <protection/>
    </xf>
    <xf numFmtId="0" fontId="20" fillId="0" borderId="0" xfId="0" applyFont="1" applyFill="1" applyAlignment="1" applyProtection="1">
      <alignment horizontal="center" vertical="center" shrinkToFit="1"/>
      <protection/>
    </xf>
    <xf numFmtId="0" fontId="22" fillId="0" borderId="0" xfId="0" applyFont="1" applyFill="1" applyAlignment="1" applyProtection="1">
      <alignment shrinkToFit="1"/>
      <protection/>
    </xf>
    <xf numFmtId="0" fontId="34" fillId="0" borderId="0" xfId="0" applyFont="1" applyFill="1" applyAlignment="1" applyProtection="1">
      <alignment shrinkToFit="1"/>
      <protection/>
    </xf>
    <xf numFmtId="0" fontId="22" fillId="0" borderId="0" xfId="0" applyFont="1" applyAlignment="1" applyProtection="1">
      <alignment shrinkToFit="1"/>
      <protection/>
    </xf>
    <xf numFmtId="0" fontId="22" fillId="0" borderId="0" xfId="0" applyFont="1" applyAlignment="1" applyProtection="1">
      <alignment vertical="center" shrinkToFit="1"/>
      <protection/>
    </xf>
    <xf numFmtId="183" fontId="33" fillId="0" borderId="0" xfId="0" applyNumberFormat="1" applyFont="1" applyFill="1" applyAlignment="1" applyProtection="1">
      <alignment shrinkToFit="1"/>
      <protection/>
    </xf>
    <xf numFmtId="183" fontId="33" fillId="0" borderId="0" xfId="0" applyNumberFormat="1" applyFont="1" applyFill="1" applyAlignment="1" applyProtection="1">
      <alignment vertical="center" shrinkToFit="1"/>
      <protection/>
    </xf>
    <xf numFmtId="0" fontId="9" fillId="0" borderId="0" xfId="0" applyFont="1" applyFill="1" applyAlignment="1" applyProtection="1">
      <alignment horizontal="center" vertical="center" shrinkToFit="1"/>
      <protection/>
    </xf>
    <xf numFmtId="176" fontId="9" fillId="0" borderId="0" xfId="0" applyNumberFormat="1" applyFont="1" applyFill="1" applyBorder="1" applyAlignment="1" applyProtection="1">
      <alignment horizontal="right" vertical="center" shrinkToFit="1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17" fillId="0" borderId="0" xfId="0" applyFont="1" applyFill="1" applyBorder="1" applyAlignment="1" applyProtection="1">
      <alignment vertical="center" shrinkToFit="1"/>
      <protection/>
    </xf>
    <xf numFmtId="0" fontId="21" fillId="0" borderId="0" xfId="0" applyFont="1" applyFill="1" applyAlignment="1" applyProtection="1">
      <alignment shrinkToFit="1"/>
      <protection/>
    </xf>
    <xf numFmtId="0" fontId="35" fillId="0" borderId="0" xfId="0" applyFont="1" applyFill="1" applyAlignment="1" applyProtection="1">
      <alignment shrinkToFit="1"/>
      <protection/>
    </xf>
    <xf numFmtId="0" fontId="21" fillId="0" borderId="0" xfId="0" applyFont="1" applyAlignment="1" applyProtection="1">
      <alignment shrinkToFit="1"/>
      <protection/>
    </xf>
    <xf numFmtId="176" fontId="7" fillId="43" borderId="42" xfId="0" applyNumberFormat="1" applyFont="1" applyFill="1" applyBorder="1" applyAlignment="1" applyProtection="1">
      <alignment horizontal="center" vertical="center" shrinkToFit="1"/>
      <protection/>
    </xf>
    <xf numFmtId="176" fontId="7" fillId="43" borderId="43" xfId="0" applyNumberFormat="1" applyFont="1" applyFill="1" applyBorder="1" applyAlignment="1" applyProtection="1">
      <alignment horizontal="center" vertical="center" shrinkToFit="1"/>
      <protection/>
    </xf>
    <xf numFmtId="0" fontId="9" fillId="43" borderId="43" xfId="0" applyFont="1" applyFill="1" applyBorder="1" applyAlignment="1" applyProtection="1">
      <alignment horizontal="center" vertical="center" shrinkToFit="1"/>
      <protection/>
    </xf>
    <xf numFmtId="0" fontId="33" fillId="0" borderId="0" xfId="0" applyFont="1" applyFill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horizontal="center" vertical="center" shrinkToFit="1"/>
      <protection/>
    </xf>
    <xf numFmtId="176" fontId="7" fillId="0" borderId="0" xfId="0" applyNumberFormat="1" applyFont="1" applyFill="1" applyBorder="1" applyAlignment="1" applyProtection="1">
      <alignment horizontal="center" vertical="center" shrinkToFit="1"/>
      <protection/>
    </xf>
    <xf numFmtId="176" fontId="7" fillId="0" borderId="0" xfId="0" applyNumberFormat="1" applyFont="1" applyFill="1" applyBorder="1" applyAlignment="1" applyProtection="1">
      <alignment horizontal="right" vertical="center" shrinkToFit="1"/>
      <protection/>
    </xf>
    <xf numFmtId="176" fontId="7" fillId="0" borderId="0" xfId="0" applyNumberFormat="1" applyFont="1" applyFill="1" applyBorder="1" applyAlignment="1" applyProtection="1">
      <alignment shrinkToFit="1"/>
      <protection/>
    </xf>
    <xf numFmtId="176" fontId="6" fillId="0" borderId="0" xfId="0" applyNumberFormat="1" applyFont="1" applyFill="1" applyBorder="1" applyAlignment="1" applyProtection="1">
      <alignment vertical="center" shrinkToFit="1"/>
      <protection/>
    </xf>
    <xf numFmtId="183" fontId="6" fillId="0" borderId="0" xfId="0" applyNumberFormat="1" applyFont="1" applyFill="1" applyBorder="1" applyAlignment="1" applyProtection="1">
      <alignment horizontal="right" vertical="center" shrinkToFit="1"/>
      <protection/>
    </xf>
    <xf numFmtId="0" fontId="17" fillId="0" borderId="0" xfId="0" applyFont="1" applyFill="1" applyAlignment="1" applyProtection="1">
      <alignment shrinkToFit="1"/>
      <protection/>
    </xf>
    <xf numFmtId="0" fontId="17" fillId="0" borderId="0" xfId="0" applyFont="1" applyAlignment="1" applyProtection="1">
      <alignment vertical="center" shrinkToFit="1"/>
      <protection/>
    </xf>
    <xf numFmtId="0" fontId="17" fillId="0" borderId="0" xfId="0" applyFont="1" applyAlignment="1" applyProtection="1">
      <alignment shrinkToFit="1"/>
      <protection/>
    </xf>
    <xf numFmtId="0" fontId="10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Alignment="1" applyProtection="1">
      <alignment horizontal="center" vertical="center" shrinkToFit="1"/>
      <protection/>
    </xf>
    <xf numFmtId="0" fontId="12" fillId="44" borderId="10" xfId="0" applyFont="1" applyFill="1" applyBorder="1" applyAlignment="1" applyProtection="1">
      <alignment horizontal="center" vertical="center" shrinkToFit="1"/>
      <protection/>
    </xf>
    <xf numFmtId="0" fontId="12" fillId="44" borderId="44" xfId="0" applyFont="1" applyFill="1" applyBorder="1" applyAlignment="1" applyProtection="1">
      <alignment horizontal="center" vertical="center" shrinkToFit="1"/>
      <protection/>
    </xf>
    <xf numFmtId="0" fontId="12" fillId="44" borderId="45" xfId="0" applyFont="1" applyFill="1" applyBorder="1" applyAlignment="1" applyProtection="1">
      <alignment horizontal="center" vertical="center" shrinkToFit="1"/>
      <protection/>
    </xf>
    <xf numFmtId="0" fontId="12" fillId="16" borderId="10" xfId="0" applyFont="1" applyFill="1" applyBorder="1" applyAlignment="1" applyProtection="1">
      <alignment horizontal="center" vertical="center" shrinkToFit="1"/>
      <protection/>
    </xf>
    <xf numFmtId="0" fontId="12" fillId="16" borderId="44" xfId="0" applyFont="1" applyFill="1" applyBorder="1" applyAlignment="1" applyProtection="1">
      <alignment horizontal="center" vertical="center" shrinkToFit="1"/>
      <protection/>
    </xf>
    <xf numFmtId="0" fontId="12" fillId="16" borderId="46" xfId="0" applyFont="1" applyFill="1" applyBorder="1" applyAlignment="1" applyProtection="1">
      <alignment horizontal="center" vertical="center" shrinkToFit="1"/>
      <protection/>
    </xf>
    <xf numFmtId="0" fontId="12" fillId="12" borderId="10" xfId="0" applyFont="1" applyFill="1" applyBorder="1" applyAlignment="1" applyProtection="1">
      <alignment horizontal="center" vertical="center" shrinkToFit="1"/>
      <protection/>
    </xf>
    <xf numFmtId="0" fontId="12" fillId="12" borderId="44" xfId="0" applyFont="1" applyFill="1" applyBorder="1" applyAlignment="1" applyProtection="1">
      <alignment horizontal="center" vertical="center" shrinkToFit="1"/>
      <protection/>
    </xf>
    <xf numFmtId="176" fontId="10" fillId="0" borderId="10" xfId="0" applyNumberFormat="1" applyFont="1" applyFill="1" applyBorder="1" applyAlignment="1" applyProtection="1">
      <alignment vertical="center" shrinkToFit="1"/>
      <protection/>
    </xf>
    <xf numFmtId="0" fontId="10" fillId="0" borderId="0" xfId="0" applyFont="1" applyFill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vertical="center" shrinkToFit="1"/>
      <protection/>
    </xf>
    <xf numFmtId="0" fontId="33" fillId="0" borderId="0" xfId="0" applyFont="1" applyAlignment="1" applyProtection="1">
      <alignment shrinkToFit="1"/>
      <protection/>
    </xf>
    <xf numFmtId="177" fontId="9" fillId="0" borderId="0" xfId="0" applyNumberFormat="1" applyFont="1" applyBorder="1" applyAlignment="1" applyProtection="1">
      <alignment vertical="center" shrinkToFit="1"/>
      <protection/>
    </xf>
    <xf numFmtId="0" fontId="6" fillId="0" borderId="0" xfId="0" applyFont="1" applyAlignment="1" applyProtection="1">
      <alignment shrinkToFit="1"/>
      <protection/>
    </xf>
    <xf numFmtId="0" fontId="6" fillId="0" borderId="0" xfId="0" applyFont="1" applyAlignment="1" applyProtection="1">
      <alignment vertical="center" shrinkToFit="1"/>
      <protection/>
    </xf>
    <xf numFmtId="176" fontId="9" fillId="43" borderId="43" xfId="0" applyNumberFormat="1" applyFont="1" applyFill="1" applyBorder="1" applyAlignment="1" applyProtection="1">
      <alignment horizontal="center" vertical="center" wrapText="1" shrinkToFit="1"/>
      <protection/>
    </xf>
    <xf numFmtId="0" fontId="9" fillId="43" borderId="43" xfId="0" applyFont="1" applyFill="1" applyBorder="1" applyAlignment="1" applyProtection="1">
      <alignment horizontal="center" vertical="center" wrapText="1" shrinkToFit="1"/>
      <protection/>
    </xf>
    <xf numFmtId="0" fontId="23" fillId="0" borderId="0" xfId="0" applyFont="1" applyFill="1" applyAlignment="1" applyProtection="1">
      <alignment vertical="center" shrinkToFit="1"/>
      <protection/>
    </xf>
    <xf numFmtId="0" fontId="24" fillId="0" borderId="0" xfId="0" applyFont="1" applyAlignment="1" applyProtection="1">
      <alignment shrinkToFit="1"/>
      <protection/>
    </xf>
    <xf numFmtId="0" fontId="36" fillId="0" borderId="0" xfId="0" applyFont="1" applyFill="1" applyAlignment="1" applyProtection="1">
      <alignment shrinkToFit="1"/>
      <protection/>
    </xf>
    <xf numFmtId="0" fontId="24" fillId="0" borderId="0" xfId="0" applyFont="1" applyAlignment="1" applyProtection="1">
      <alignment vertical="center" shrinkToFit="1"/>
      <protection/>
    </xf>
    <xf numFmtId="0" fontId="24" fillId="0" borderId="0" xfId="0" applyFont="1" applyFill="1" applyBorder="1" applyAlignment="1" applyProtection="1">
      <alignment horizontal="left" vertical="center" shrinkToFit="1"/>
      <protection/>
    </xf>
    <xf numFmtId="0" fontId="25" fillId="0" borderId="0" xfId="0" applyFont="1" applyFill="1" applyBorder="1" applyAlignment="1" applyProtection="1">
      <alignment vertical="center" shrinkToFit="1"/>
      <protection/>
    </xf>
    <xf numFmtId="0" fontId="26" fillId="0" borderId="0" xfId="0" applyFont="1" applyFill="1" applyAlignment="1" applyProtection="1">
      <alignment vertical="center" shrinkToFit="1"/>
      <protection/>
    </xf>
    <xf numFmtId="0" fontId="26" fillId="0" borderId="0" xfId="0" applyFont="1" applyFill="1" applyAlignment="1" applyProtection="1">
      <alignment shrinkToFit="1"/>
      <protection/>
    </xf>
    <xf numFmtId="0" fontId="37" fillId="0" borderId="0" xfId="0" applyFont="1" applyFill="1" applyAlignment="1" applyProtection="1">
      <alignment vertical="center" shrinkToFit="1"/>
      <protection/>
    </xf>
    <xf numFmtId="176" fontId="22" fillId="0" borderId="10" xfId="0" applyNumberFormat="1" applyFont="1" applyBorder="1" applyAlignment="1" applyProtection="1">
      <alignment horizontal="right" vertical="center" shrinkToFit="1"/>
      <protection/>
    </xf>
    <xf numFmtId="176" fontId="22" fillId="39" borderId="10" xfId="0" applyNumberFormat="1" applyFont="1" applyFill="1" applyBorder="1" applyAlignment="1" applyProtection="1">
      <alignment horizontal="right" vertical="center" shrinkToFit="1"/>
      <protection locked="0"/>
    </xf>
    <xf numFmtId="0" fontId="22" fillId="0" borderId="10" xfId="0" applyFont="1" applyBorder="1" applyAlignment="1" applyProtection="1">
      <alignment shrinkToFit="1"/>
      <protection/>
    </xf>
    <xf numFmtId="176" fontId="22" fillId="0" borderId="39" xfId="0" applyNumberFormat="1" applyFont="1" applyBorder="1" applyAlignment="1" applyProtection="1">
      <alignment horizontal="right" vertical="center" shrinkToFit="1"/>
      <protection/>
    </xf>
    <xf numFmtId="176" fontId="22" fillId="39" borderId="42" xfId="0" applyNumberFormat="1" applyFont="1" applyFill="1" applyBorder="1" applyAlignment="1" applyProtection="1">
      <alignment horizontal="right" vertical="center" shrinkToFit="1"/>
      <protection locked="0"/>
    </xf>
    <xf numFmtId="176" fontId="22" fillId="0" borderId="43" xfId="0" applyNumberFormat="1" applyFont="1" applyFill="1" applyBorder="1" applyAlignment="1" applyProtection="1">
      <alignment horizontal="right" vertical="center" shrinkToFit="1"/>
      <protection/>
    </xf>
    <xf numFmtId="176" fontId="22" fillId="39" borderId="43" xfId="0" applyNumberFormat="1" applyFont="1" applyFill="1" applyBorder="1" applyAlignment="1" applyProtection="1">
      <alignment horizontal="right" vertical="center" shrinkToFit="1"/>
      <protection locked="0"/>
    </xf>
    <xf numFmtId="176" fontId="22" fillId="39" borderId="43" xfId="0" applyNumberFormat="1" applyFont="1" applyFill="1" applyBorder="1" applyAlignment="1" applyProtection="1">
      <alignment vertical="center" shrinkToFit="1"/>
      <protection locked="0"/>
    </xf>
    <xf numFmtId="179" fontId="22" fillId="39" borderId="43" xfId="0" applyNumberFormat="1" applyFont="1" applyFill="1" applyBorder="1" applyAlignment="1" applyProtection="1">
      <alignment horizontal="right" vertical="center" shrinkToFit="1"/>
      <protection locked="0"/>
    </xf>
    <xf numFmtId="10" fontId="22" fillId="0" borderId="39" xfId="0" applyNumberFormat="1" applyFont="1" applyBorder="1" applyAlignment="1" applyProtection="1">
      <alignment vertical="center" shrinkToFit="1"/>
      <protection/>
    </xf>
    <xf numFmtId="177" fontId="22" fillId="0" borderId="39" xfId="0" applyNumberFormat="1" applyFont="1" applyBorder="1" applyAlignment="1" applyProtection="1">
      <alignment vertical="center" shrinkToFit="1"/>
      <protection/>
    </xf>
    <xf numFmtId="206" fontId="22" fillId="0" borderId="39" xfId="0" applyNumberFormat="1" applyFont="1" applyBorder="1" applyAlignment="1" applyProtection="1">
      <alignment horizontal="right" vertical="center" shrinkToFit="1"/>
      <protection/>
    </xf>
    <xf numFmtId="176" fontId="22" fillId="0" borderId="47" xfId="0" applyNumberFormat="1" applyFont="1" applyBorder="1" applyAlignment="1" applyProtection="1">
      <alignment horizontal="center" vertical="center" shrinkToFit="1"/>
      <protection/>
    </xf>
    <xf numFmtId="176" fontId="22" fillId="0" borderId="28" xfId="0" applyNumberFormat="1" applyFont="1" applyBorder="1" applyAlignment="1" applyProtection="1">
      <alignment horizontal="right" vertical="center" shrinkToFit="1"/>
      <protection/>
    </xf>
    <xf numFmtId="176" fontId="22" fillId="0" borderId="28" xfId="0" applyNumberFormat="1" applyFont="1" applyBorder="1" applyAlignment="1" applyProtection="1">
      <alignment vertical="center" shrinkToFit="1"/>
      <protection/>
    </xf>
    <xf numFmtId="176" fontId="22" fillId="39" borderId="48" xfId="0" applyNumberFormat="1" applyFont="1" applyFill="1" applyBorder="1" applyAlignment="1" applyProtection="1">
      <alignment horizontal="right" vertical="center" shrinkToFit="1"/>
      <protection locked="0"/>
    </xf>
    <xf numFmtId="176" fontId="22" fillId="0" borderId="48" xfId="0" applyNumberFormat="1" applyFont="1" applyBorder="1" applyAlignment="1" applyProtection="1">
      <alignment horizontal="right" vertical="center" shrinkToFit="1"/>
      <protection/>
    </xf>
    <xf numFmtId="0" fontId="9" fillId="0" borderId="10" xfId="0" applyFont="1" applyBorder="1" applyAlignment="1" applyProtection="1">
      <alignment vertical="center" shrinkToFit="1"/>
      <protection/>
    </xf>
    <xf numFmtId="0" fontId="9" fillId="0" borderId="10" xfId="0" applyFont="1" applyBorder="1" applyAlignment="1" applyProtection="1">
      <alignment shrinkToFit="1"/>
      <protection/>
    </xf>
    <xf numFmtId="0" fontId="9" fillId="0" borderId="39" xfId="0" applyFont="1" applyBorder="1" applyAlignment="1" applyProtection="1">
      <alignment vertical="center" shrinkToFit="1"/>
      <protection/>
    </xf>
    <xf numFmtId="0" fontId="9" fillId="0" borderId="39" xfId="0" applyFont="1" applyBorder="1" applyAlignment="1" applyProtection="1">
      <alignment shrinkToFit="1"/>
      <protection/>
    </xf>
    <xf numFmtId="0" fontId="38" fillId="0" borderId="0" xfId="0" applyFont="1" applyFill="1" applyAlignment="1" applyProtection="1">
      <alignment vertical="center" shrinkToFit="1"/>
      <protection/>
    </xf>
    <xf numFmtId="0" fontId="12" fillId="44" borderId="49" xfId="0" applyFont="1" applyFill="1" applyBorder="1" applyAlignment="1" applyProtection="1">
      <alignment horizontal="center" vertical="center" shrinkToFit="1"/>
      <protection/>
    </xf>
    <xf numFmtId="0" fontId="12" fillId="16" borderId="49" xfId="0" applyFont="1" applyFill="1" applyBorder="1" applyAlignment="1" applyProtection="1">
      <alignment horizontal="center" vertical="center" shrinkToFit="1"/>
      <protection/>
    </xf>
    <xf numFmtId="0" fontId="12" fillId="12" borderId="49" xfId="0" applyFont="1" applyFill="1" applyBorder="1" applyAlignment="1" applyProtection="1">
      <alignment horizontal="center" vertical="center" shrinkToFit="1"/>
      <protection/>
    </xf>
    <xf numFmtId="0" fontId="12" fillId="44" borderId="47" xfId="0" applyFont="1" applyFill="1" applyBorder="1" applyAlignment="1" applyProtection="1">
      <alignment horizontal="center" vertical="center" shrinkToFit="1"/>
      <protection/>
    </xf>
    <xf numFmtId="0" fontId="12" fillId="16" borderId="47" xfId="0" applyFont="1" applyFill="1" applyBorder="1" applyAlignment="1" applyProtection="1">
      <alignment horizontal="center" vertical="center" shrinkToFit="1"/>
      <protection/>
    </xf>
    <xf numFmtId="0" fontId="12" fillId="12" borderId="47" xfId="0" applyFont="1" applyFill="1" applyBorder="1" applyAlignment="1" applyProtection="1">
      <alignment horizontal="center" vertical="center" shrinkToFit="1"/>
      <protection/>
    </xf>
    <xf numFmtId="10" fontId="22" fillId="0" borderId="50" xfId="0" applyNumberFormat="1" applyFont="1" applyBorder="1" applyAlignment="1" applyProtection="1">
      <alignment vertical="center" shrinkToFit="1"/>
      <protection/>
    </xf>
    <xf numFmtId="211" fontId="22" fillId="0" borderId="39" xfId="0" applyNumberFormat="1" applyFont="1" applyBorder="1" applyAlignment="1" applyProtection="1">
      <alignment vertical="center" shrinkToFit="1"/>
      <protection/>
    </xf>
    <xf numFmtId="211" fontId="22" fillId="0" borderId="51" xfId="0" applyNumberFormat="1" applyFont="1" applyBorder="1" applyAlignment="1" applyProtection="1">
      <alignment vertical="center" shrinkToFit="1"/>
      <protection/>
    </xf>
    <xf numFmtId="0" fontId="3" fillId="0" borderId="0" xfId="0" applyNumberFormat="1" applyFont="1" applyAlignment="1">
      <alignment/>
    </xf>
    <xf numFmtId="0" fontId="12" fillId="13" borderId="32" xfId="0" applyFont="1" applyFill="1" applyBorder="1" applyAlignment="1" applyProtection="1">
      <alignment horizontal="center" vertical="center" shrinkToFit="1"/>
      <protection/>
    </xf>
    <xf numFmtId="176" fontId="22" fillId="0" borderId="32" xfId="0" applyNumberFormat="1" applyFont="1" applyBorder="1" applyAlignment="1" applyProtection="1">
      <alignment horizontal="center" vertical="center" shrinkToFit="1"/>
      <protection/>
    </xf>
    <xf numFmtId="0" fontId="10" fillId="44" borderId="52" xfId="0" applyFont="1" applyFill="1" applyBorder="1" applyAlignment="1" applyProtection="1">
      <alignment horizontal="center" vertical="center" shrinkToFit="1"/>
      <protection/>
    </xf>
    <xf numFmtId="211" fontId="27" fillId="11" borderId="53" xfId="0" applyNumberFormat="1" applyFont="1" applyFill="1" applyBorder="1" applyAlignment="1" applyProtection="1">
      <alignment horizontal="right" vertical="center" shrinkToFit="1"/>
      <protection/>
    </xf>
    <xf numFmtId="176" fontId="10" fillId="11" borderId="54" xfId="0" applyNumberFormat="1" applyFont="1" applyFill="1" applyBorder="1" applyAlignment="1" applyProtection="1">
      <alignment horizontal="right" vertical="center" shrinkToFit="1"/>
      <protection/>
    </xf>
    <xf numFmtId="176" fontId="7" fillId="0" borderId="55" xfId="0" applyNumberFormat="1" applyFont="1" applyFill="1" applyBorder="1" applyAlignment="1" applyProtection="1">
      <alignment horizontal="left" vertical="center" shrinkToFit="1"/>
      <protection/>
    </xf>
    <xf numFmtId="176" fontId="22" fillId="0" borderId="56" xfId="0" applyNumberFormat="1" applyFont="1" applyBorder="1" applyAlignment="1" applyProtection="1">
      <alignment vertical="center" shrinkToFit="1"/>
      <protection/>
    </xf>
    <xf numFmtId="176" fontId="7" fillId="0" borderId="57" xfId="0" applyNumberFormat="1" applyFont="1" applyFill="1" applyBorder="1" applyAlignment="1" applyProtection="1">
      <alignment horizontal="left" vertical="center" shrinkToFit="1"/>
      <protection/>
    </xf>
    <xf numFmtId="176" fontId="10" fillId="11" borderId="52" xfId="0" applyNumberFormat="1" applyFont="1" applyFill="1" applyBorder="1" applyAlignment="1" applyProtection="1">
      <alignment horizontal="center" vertical="center" shrinkToFit="1"/>
      <protection/>
    </xf>
    <xf numFmtId="176" fontId="10" fillId="11" borderId="47" xfId="0" applyNumberFormat="1" applyFont="1" applyFill="1" applyBorder="1" applyAlignment="1" applyProtection="1">
      <alignment horizontal="center" vertical="center" shrinkToFit="1"/>
      <protection/>
    </xf>
    <xf numFmtId="0" fontId="10" fillId="11" borderId="47" xfId="0" applyFont="1" applyFill="1" applyBorder="1" applyAlignment="1" applyProtection="1">
      <alignment horizontal="center" vertical="center" shrinkToFit="1"/>
      <protection/>
    </xf>
    <xf numFmtId="0" fontId="10" fillId="11" borderId="50" xfId="0" applyFont="1" applyFill="1" applyBorder="1" applyAlignment="1" applyProtection="1">
      <alignment horizontal="center" vertical="center" shrinkToFit="1"/>
      <protection/>
    </xf>
    <xf numFmtId="212" fontId="22" fillId="0" borderId="44" xfId="0" applyNumberFormat="1" applyFont="1" applyFill="1" applyBorder="1" applyAlignment="1" applyProtection="1">
      <alignment horizontal="right" vertical="center" shrinkToFit="1"/>
      <protection/>
    </xf>
    <xf numFmtId="212" fontId="22" fillId="0" borderId="51" xfId="0" applyNumberFormat="1" applyFont="1" applyFill="1" applyBorder="1" applyAlignment="1" applyProtection="1">
      <alignment horizontal="right" vertical="center" shrinkToFit="1"/>
      <protection/>
    </xf>
    <xf numFmtId="176" fontId="10" fillId="11" borderId="42" xfId="0" applyNumberFormat="1" applyFont="1" applyFill="1" applyBorder="1" applyAlignment="1" applyProtection="1">
      <alignment vertical="center" shrinkToFit="1"/>
      <protection/>
    </xf>
    <xf numFmtId="212" fontId="22" fillId="0" borderId="58" xfId="0" applyNumberFormat="1" applyFont="1" applyFill="1" applyBorder="1" applyAlignment="1" applyProtection="1">
      <alignment horizontal="right" vertical="center" shrinkToFit="1"/>
      <protection/>
    </xf>
    <xf numFmtId="176" fontId="10" fillId="11" borderId="47" xfId="0" applyNumberFormat="1" applyFont="1" applyFill="1" applyBorder="1" applyAlignment="1" applyProtection="1">
      <alignment vertical="center" shrinkToFit="1"/>
      <protection/>
    </xf>
    <xf numFmtId="176" fontId="10" fillId="11" borderId="50" xfId="0" applyNumberFormat="1" applyFont="1" applyFill="1" applyBorder="1" applyAlignment="1" applyProtection="1">
      <alignment vertical="center" shrinkToFit="1"/>
      <protection/>
    </xf>
    <xf numFmtId="0" fontId="9" fillId="0" borderId="0" xfId="0" applyFont="1" applyFill="1" applyBorder="1" applyAlignment="1" applyProtection="1">
      <alignment shrinkToFit="1"/>
      <protection/>
    </xf>
    <xf numFmtId="0" fontId="10" fillId="44" borderId="52" xfId="0" applyFont="1" applyFill="1" applyBorder="1" applyAlignment="1" applyProtection="1">
      <alignment vertical="center" shrinkToFit="1"/>
      <protection/>
    </xf>
    <xf numFmtId="0" fontId="10" fillId="16" borderId="47" xfId="0" applyFont="1" applyFill="1" applyBorder="1" applyAlignment="1" applyProtection="1">
      <alignment vertical="center" shrinkToFit="1"/>
      <protection/>
    </xf>
    <xf numFmtId="0" fontId="10" fillId="45" borderId="50" xfId="0" applyFont="1" applyFill="1" applyBorder="1" applyAlignment="1" applyProtection="1">
      <alignment vertical="center" shrinkToFit="1"/>
      <protection/>
    </xf>
    <xf numFmtId="0" fontId="10" fillId="16" borderId="50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Alignment="1" applyProtection="1">
      <alignment vertical="center" shrinkToFit="1"/>
      <protection/>
    </xf>
    <xf numFmtId="0" fontId="42" fillId="46" borderId="10" xfId="0" applyFont="1" applyFill="1" applyBorder="1" applyAlignment="1" applyProtection="1">
      <alignment horizontal="center" vertical="center" shrinkToFit="1"/>
      <protection/>
    </xf>
    <xf numFmtId="185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0" fontId="3" fillId="40" borderId="28" xfId="0" applyFont="1" applyFill="1" applyBorder="1" applyAlignment="1">
      <alignment horizontal="center" vertical="center"/>
    </xf>
    <xf numFmtId="0" fontId="3" fillId="40" borderId="59" xfId="0" applyFont="1" applyFill="1" applyBorder="1" applyAlignment="1">
      <alignment horizontal="center" vertical="center"/>
    </xf>
    <xf numFmtId="0" fontId="3" fillId="40" borderId="32" xfId="0" applyFont="1" applyFill="1" applyBorder="1" applyAlignment="1">
      <alignment horizontal="center" vertical="center"/>
    </xf>
    <xf numFmtId="38" fontId="3" fillId="0" borderId="60" xfId="48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41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7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38" fontId="3" fillId="0" borderId="10" xfId="48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12" fillId="43" borderId="63" xfId="0" applyFont="1" applyFill="1" applyBorder="1" applyAlignment="1" applyProtection="1">
      <alignment horizontal="center" vertical="center" shrinkToFit="1"/>
      <protection/>
    </xf>
    <xf numFmtId="0" fontId="12" fillId="43" borderId="64" xfId="0" applyFont="1" applyFill="1" applyBorder="1" applyAlignment="1" applyProtection="1">
      <alignment horizontal="center" vertical="center" shrinkToFit="1"/>
      <protection/>
    </xf>
    <xf numFmtId="211" fontId="27" fillId="0" borderId="63" xfId="0" applyNumberFormat="1" applyFont="1" applyBorder="1" applyAlignment="1" applyProtection="1">
      <alignment vertical="center" shrinkToFit="1"/>
      <protection/>
    </xf>
    <xf numFmtId="211" fontId="27" fillId="0" borderId="64" xfId="0" applyNumberFormat="1" applyFont="1" applyBorder="1" applyAlignment="1" applyProtection="1">
      <alignment vertical="center" shrinkToFit="1"/>
      <protection/>
    </xf>
    <xf numFmtId="0" fontId="12" fillId="44" borderId="65" xfId="0" applyFont="1" applyFill="1" applyBorder="1" applyAlignment="1" applyProtection="1">
      <alignment horizontal="center" vertical="center" shrinkToFit="1"/>
      <protection/>
    </xf>
    <xf numFmtId="0" fontId="12" fillId="44" borderId="66" xfId="0" applyFont="1" applyFill="1" applyBorder="1" applyAlignment="1" applyProtection="1">
      <alignment horizontal="center" vertical="center" shrinkToFit="1"/>
      <protection/>
    </xf>
    <xf numFmtId="0" fontId="12" fillId="16" borderId="65" xfId="0" applyFont="1" applyFill="1" applyBorder="1" applyAlignment="1" applyProtection="1">
      <alignment horizontal="center" vertical="center" shrinkToFit="1"/>
      <protection/>
    </xf>
    <xf numFmtId="0" fontId="12" fillId="16" borderId="66" xfId="0" applyFont="1" applyFill="1" applyBorder="1" applyAlignment="1" applyProtection="1">
      <alignment horizontal="center" vertical="center" shrinkToFit="1"/>
      <protection/>
    </xf>
    <xf numFmtId="211" fontId="22" fillId="0" borderId="67" xfId="0" applyNumberFormat="1" applyFont="1" applyBorder="1" applyAlignment="1" applyProtection="1">
      <alignment horizontal="center" vertical="center" shrinkToFit="1"/>
      <protection/>
    </xf>
    <xf numFmtId="211" fontId="22" fillId="0" borderId="68" xfId="0" applyNumberFormat="1" applyFont="1" applyBorder="1" applyAlignment="1" applyProtection="1">
      <alignment horizontal="center" vertical="center" shrinkToFit="1"/>
      <protection/>
    </xf>
    <xf numFmtId="211" fontId="22" fillId="0" borderId="57" xfId="0" applyNumberFormat="1" applyFont="1" applyBorder="1" applyAlignment="1" applyProtection="1">
      <alignment horizontal="center" vertical="center" shrinkToFit="1"/>
      <protection/>
    </xf>
    <xf numFmtId="0" fontId="28" fillId="0" borderId="0" xfId="0" applyFont="1" applyFill="1" applyBorder="1" applyAlignment="1" applyProtection="1">
      <alignment vertical="center" shrinkToFit="1"/>
      <protection/>
    </xf>
    <xf numFmtId="0" fontId="12" fillId="12" borderId="65" xfId="0" applyFont="1" applyFill="1" applyBorder="1" applyAlignment="1" applyProtection="1">
      <alignment horizontal="center" vertical="center" shrinkToFit="1"/>
      <protection/>
    </xf>
    <xf numFmtId="0" fontId="12" fillId="12" borderId="69" xfId="0" applyFont="1" applyFill="1" applyBorder="1" applyAlignment="1" applyProtection="1">
      <alignment horizontal="center" vertical="center" shrinkToFit="1"/>
      <protection/>
    </xf>
    <xf numFmtId="0" fontId="12" fillId="12" borderId="54" xfId="0" applyFont="1" applyFill="1" applyBorder="1" applyAlignment="1" applyProtection="1">
      <alignment horizontal="center" vertical="center" shrinkToFit="1"/>
      <protection/>
    </xf>
    <xf numFmtId="0" fontId="12" fillId="12" borderId="52" xfId="0" applyFont="1" applyFill="1" applyBorder="1" applyAlignment="1" applyProtection="1">
      <alignment horizontal="center" vertical="center" shrinkToFit="1"/>
      <protection/>
    </xf>
    <xf numFmtId="0" fontId="12" fillId="12" borderId="48" xfId="0" applyFont="1" applyFill="1" applyBorder="1" applyAlignment="1" applyProtection="1">
      <alignment horizontal="center" vertical="center" shrinkToFit="1"/>
      <protection/>
    </xf>
    <xf numFmtId="0" fontId="11" fillId="43" borderId="70" xfId="0" applyFont="1" applyFill="1" applyBorder="1" applyAlignment="1" applyProtection="1">
      <alignment horizontal="center" vertical="center" shrinkToFit="1"/>
      <protection/>
    </xf>
    <xf numFmtId="0" fontId="11" fillId="43" borderId="41" xfId="0" applyFont="1" applyFill="1" applyBorder="1" applyAlignment="1" applyProtection="1">
      <alignment horizontal="center" vertical="center" shrinkToFit="1"/>
      <protection/>
    </xf>
    <xf numFmtId="0" fontId="11" fillId="43" borderId="71" xfId="0" applyFont="1" applyFill="1" applyBorder="1" applyAlignment="1" applyProtection="1">
      <alignment horizontal="center" vertical="center" shrinkToFit="1"/>
      <protection/>
    </xf>
    <xf numFmtId="0" fontId="11" fillId="43" borderId="0" xfId="0" applyFont="1" applyFill="1" applyBorder="1" applyAlignment="1" applyProtection="1">
      <alignment horizontal="center" vertical="center" shrinkToFit="1"/>
      <protection/>
    </xf>
    <xf numFmtId="0" fontId="11" fillId="43" borderId="72" xfId="0" applyFont="1" applyFill="1" applyBorder="1" applyAlignment="1" applyProtection="1">
      <alignment horizontal="center" vertical="center" shrinkToFit="1"/>
      <protection/>
    </xf>
    <xf numFmtId="0" fontId="11" fillId="43" borderId="40" xfId="0" applyFont="1" applyFill="1" applyBorder="1" applyAlignment="1" applyProtection="1">
      <alignment horizontal="center" vertical="center" shrinkToFit="1"/>
      <protection/>
    </xf>
    <xf numFmtId="0" fontId="11" fillId="44" borderId="73" xfId="0" applyFont="1" applyFill="1" applyBorder="1" applyAlignment="1" applyProtection="1">
      <alignment horizontal="center" vertical="center" shrinkToFit="1"/>
      <protection/>
    </xf>
    <xf numFmtId="0" fontId="11" fillId="44" borderId="74" xfId="0" applyFont="1" applyFill="1" applyBorder="1" applyAlignment="1" applyProtection="1">
      <alignment horizontal="center" vertical="center" shrinkToFit="1"/>
      <protection/>
    </xf>
    <xf numFmtId="0" fontId="11" fillId="44" borderId="64" xfId="0" applyFont="1" applyFill="1" applyBorder="1" applyAlignment="1" applyProtection="1">
      <alignment horizontal="center" vertical="center" shrinkToFit="1"/>
      <protection/>
    </xf>
    <xf numFmtId="0" fontId="11" fillId="16" borderId="73" xfId="0" applyFont="1" applyFill="1" applyBorder="1" applyAlignment="1" applyProtection="1">
      <alignment horizontal="center" vertical="center" wrapText="1" shrinkToFit="1"/>
      <protection/>
    </xf>
    <xf numFmtId="0" fontId="11" fillId="16" borderId="74" xfId="0" applyFont="1" applyFill="1" applyBorder="1" applyAlignment="1" applyProtection="1">
      <alignment horizontal="center" vertical="center" wrapText="1" shrinkToFit="1"/>
      <protection/>
    </xf>
    <xf numFmtId="0" fontId="11" fillId="16" borderId="64" xfId="0" applyFont="1" applyFill="1" applyBorder="1" applyAlignment="1" applyProtection="1">
      <alignment horizontal="center" vertical="center" wrapText="1" shrinkToFit="1"/>
      <protection/>
    </xf>
    <xf numFmtId="0" fontId="11" fillId="12" borderId="73" xfId="0" applyFont="1" applyFill="1" applyBorder="1" applyAlignment="1" applyProtection="1">
      <alignment horizontal="center" vertical="center" wrapText="1" shrinkToFit="1"/>
      <protection/>
    </xf>
    <xf numFmtId="0" fontId="11" fillId="12" borderId="74" xfId="0" applyFont="1" applyFill="1" applyBorder="1" applyAlignment="1" applyProtection="1">
      <alignment horizontal="center" vertical="center" wrapText="1" shrinkToFit="1"/>
      <protection/>
    </xf>
    <xf numFmtId="0" fontId="11" fillId="12" borderId="64" xfId="0" applyFont="1" applyFill="1" applyBorder="1" applyAlignment="1" applyProtection="1">
      <alignment horizontal="center" vertical="center" wrapText="1" shrinkToFit="1"/>
      <protection/>
    </xf>
    <xf numFmtId="0" fontId="11" fillId="13" borderId="41" xfId="0" applyFont="1" applyFill="1" applyBorder="1" applyAlignment="1" applyProtection="1">
      <alignment horizontal="center" vertical="center" wrapText="1" shrinkToFit="1"/>
      <protection/>
    </xf>
    <xf numFmtId="0" fontId="11" fillId="13" borderId="75" xfId="0" applyFont="1" applyFill="1" applyBorder="1" applyAlignment="1" applyProtection="1">
      <alignment horizontal="center" vertical="center" shrinkToFit="1"/>
      <protection/>
    </xf>
    <xf numFmtId="0" fontId="11" fillId="13" borderId="76" xfId="0" applyFont="1" applyFill="1" applyBorder="1" applyAlignment="1" applyProtection="1">
      <alignment horizontal="center" vertical="center" shrinkToFit="1"/>
      <protection/>
    </xf>
    <xf numFmtId="0" fontId="11" fillId="13" borderId="77" xfId="0" applyFont="1" applyFill="1" applyBorder="1" applyAlignment="1" applyProtection="1">
      <alignment horizontal="center" vertical="center" shrinkToFit="1"/>
      <protection/>
    </xf>
    <xf numFmtId="211" fontId="19" fillId="0" borderId="68" xfId="0" applyNumberFormat="1" applyFont="1" applyBorder="1" applyAlignment="1" applyProtection="1">
      <alignment horizontal="center" vertical="center" shrinkToFit="1"/>
      <protection/>
    </xf>
    <xf numFmtId="211" fontId="19" fillId="0" borderId="57" xfId="0" applyNumberFormat="1" applyFont="1" applyBorder="1" applyAlignment="1" applyProtection="1">
      <alignment horizontal="center" vertical="center" shrinkToFit="1"/>
      <protection/>
    </xf>
    <xf numFmtId="0" fontId="12" fillId="44" borderId="69" xfId="0" applyFont="1" applyFill="1" applyBorder="1" applyAlignment="1" applyProtection="1">
      <alignment horizontal="center" vertical="center" shrinkToFit="1"/>
      <protection/>
    </xf>
    <xf numFmtId="0" fontId="12" fillId="44" borderId="54" xfId="0" applyFont="1" applyFill="1" applyBorder="1" applyAlignment="1" applyProtection="1">
      <alignment horizontal="center" vertical="center" shrinkToFit="1"/>
      <protection/>
    </xf>
    <xf numFmtId="0" fontId="11" fillId="13" borderId="0" xfId="0" applyFont="1" applyFill="1" applyBorder="1" applyAlignment="1" applyProtection="1">
      <alignment horizontal="center" vertical="center" shrinkToFit="1"/>
      <protection/>
    </xf>
    <xf numFmtId="0" fontId="11" fillId="13" borderId="78" xfId="0" applyFont="1" applyFill="1" applyBorder="1" applyAlignment="1" applyProtection="1">
      <alignment horizontal="center" vertical="center" shrinkToFit="1"/>
      <protection/>
    </xf>
    <xf numFmtId="0" fontId="12" fillId="16" borderId="69" xfId="0" applyFont="1" applyFill="1" applyBorder="1" applyAlignment="1" applyProtection="1">
      <alignment horizontal="center" vertical="center" shrinkToFit="1"/>
      <protection/>
    </xf>
    <xf numFmtId="0" fontId="12" fillId="16" borderId="54" xfId="0" applyFont="1" applyFill="1" applyBorder="1" applyAlignment="1" applyProtection="1">
      <alignment horizontal="center" vertical="center" shrinkToFit="1"/>
      <protection/>
    </xf>
    <xf numFmtId="0" fontId="11" fillId="12" borderId="70" xfId="0" applyFont="1" applyFill="1" applyBorder="1" applyAlignment="1" applyProtection="1">
      <alignment horizontal="center" vertical="center" wrapText="1" shrinkToFit="1"/>
      <protection/>
    </xf>
    <xf numFmtId="0" fontId="11" fillId="12" borderId="79" xfId="0" applyFont="1" applyFill="1" applyBorder="1" applyAlignment="1" applyProtection="1">
      <alignment horizontal="center" vertical="center" shrinkToFit="1"/>
      <protection/>
    </xf>
    <xf numFmtId="0" fontId="11" fillId="12" borderId="71" xfId="0" applyFont="1" applyFill="1" applyBorder="1" applyAlignment="1" applyProtection="1">
      <alignment horizontal="center" vertical="center" shrinkToFit="1"/>
      <protection/>
    </xf>
    <xf numFmtId="0" fontId="11" fillId="12" borderId="37" xfId="0" applyFont="1" applyFill="1" applyBorder="1" applyAlignment="1" applyProtection="1">
      <alignment horizontal="center" vertical="center" shrinkToFit="1"/>
      <protection/>
    </xf>
    <xf numFmtId="0" fontId="11" fillId="12" borderId="72" xfId="0" applyFont="1" applyFill="1" applyBorder="1" applyAlignment="1" applyProtection="1">
      <alignment horizontal="center" vertical="center" shrinkToFit="1"/>
      <protection/>
    </xf>
    <xf numFmtId="0" fontId="11" fillId="12" borderId="80" xfId="0" applyFont="1" applyFill="1" applyBorder="1" applyAlignment="1" applyProtection="1">
      <alignment horizontal="center" vertical="center" shrinkToFit="1"/>
      <protection/>
    </xf>
    <xf numFmtId="210" fontId="39" fillId="19" borderId="73" xfId="0" applyNumberFormat="1" applyFont="1" applyFill="1" applyBorder="1" applyAlignment="1" applyProtection="1">
      <alignment horizontal="center" vertical="center" shrinkToFit="1"/>
      <protection/>
    </xf>
    <xf numFmtId="210" fontId="39" fillId="19" borderId="74" xfId="0" applyNumberFormat="1" applyFont="1" applyFill="1" applyBorder="1" applyAlignment="1" applyProtection="1">
      <alignment horizontal="center" vertical="center" shrinkToFit="1"/>
      <protection/>
    </xf>
    <xf numFmtId="210" fontId="39" fillId="19" borderId="64" xfId="0" applyNumberFormat="1" applyFont="1" applyFill="1" applyBorder="1" applyAlignment="1" applyProtection="1">
      <alignment horizontal="center" vertical="center" shrinkToFit="1"/>
      <protection/>
    </xf>
    <xf numFmtId="0" fontId="10" fillId="43" borderId="49" xfId="0" applyFont="1" applyFill="1" applyBorder="1" applyAlignment="1" applyProtection="1">
      <alignment horizontal="center" vertical="center" shrinkToFit="1"/>
      <protection/>
    </xf>
    <xf numFmtId="0" fontId="10" fillId="43" borderId="51" xfId="0" applyFont="1" applyFill="1" applyBorder="1" applyAlignment="1" applyProtection="1">
      <alignment horizontal="center" vertical="center" shrinkToFit="1"/>
      <protection/>
    </xf>
    <xf numFmtId="0" fontId="40" fillId="15" borderId="73" xfId="0" applyFont="1" applyFill="1" applyBorder="1" applyAlignment="1" applyProtection="1">
      <alignment horizontal="center" vertical="center" shrinkToFit="1"/>
      <protection/>
    </xf>
    <xf numFmtId="0" fontId="40" fillId="15" borderId="74" xfId="0" applyFont="1" applyFill="1" applyBorder="1" applyAlignment="1" applyProtection="1">
      <alignment horizontal="center" vertical="center" shrinkToFit="1"/>
      <protection/>
    </xf>
    <xf numFmtId="0" fontId="40" fillId="15" borderId="64" xfId="0" applyFont="1" applyFill="1" applyBorder="1" applyAlignment="1" applyProtection="1">
      <alignment horizontal="center" vertical="center" shrinkToFit="1"/>
      <protection/>
    </xf>
    <xf numFmtId="0" fontId="28" fillId="0" borderId="28" xfId="0" applyFont="1" applyFill="1" applyBorder="1" applyAlignment="1" applyProtection="1">
      <alignment vertical="center" shrinkToFit="1"/>
      <protection/>
    </xf>
    <xf numFmtId="0" fontId="28" fillId="0" borderId="59" xfId="0" applyFont="1" applyFill="1" applyBorder="1" applyAlignment="1" applyProtection="1">
      <alignment vertical="center" shrinkToFit="1"/>
      <protection/>
    </xf>
    <xf numFmtId="0" fontId="28" fillId="0" borderId="32" xfId="0" applyFont="1" applyFill="1" applyBorder="1" applyAlignment="1" applyProtection="1">
      <alignment vertical="center" shrinkToFit="1"/>
      <protection/>
    </xf>
    <xf numFmtId="0" fontId="11" fillId="0" borderId="11" xfId="0" applyFont="1" applyFill="1" applyBorder="1" applyAlignment="1" applyProtection="1">
      <alignment horizontal="left" vertical="center" shrinkToFit="1"/>
      <protection/>
    </xf>
    <xf numFmtId="0" fontId="11" fillId="0" borderId="0" xfId="0" applyFont="1" applyFill="1" applyAlignment="1" applyProtection="1">
      <alignment horizontal="left" vertical="center" shrinkToFit="1"/>
      <protection/>
    </xf>
    <xf numFmtId="0" fontId="12" fillId="43" borderId="48" xfId="0" applyFont="1" applyFill="1" applyBorder="1" applyAlignment="1" applyProtection="1">
      <alignment horizontal="center" vertical="center" wrapText="1" shrinkToFit="1"/>
      <protection/>
    </xf>
    <xf numFmtId="0" fontId="12" fillId="43" borderId="39" xfId="0" applyFont="1" applyFill="1" applyBorder="1" applyAlignment="1" applyProtection="1">
      <alignment horizontal="center" vertical="center" shrinkToFit="1"/>
      <protection/>
    </xf>
    <xf numFmtId="0" fontId="10" fillId="43" borderId="48" xfId="0" applyFont="1" applyFill="1" applyBorder="1" applyAlignment="1" applyProtection="1">
      <alignment horizontal="center" vertical="center" shrinkToFit="1"/>
      <protection/>
    </xf>
    <xf numFmtId="0" fontId="10" fillId="43" borderId="39" xfId="0" applyFont="1" applyFill="1" applyBorder="1" applyAlignment="1" applyProtection="1">
      <alignment horizontal="center" vertical="center" shrinkToFit="1"/>
      <protection/>
    </xf>
    <xf numFmtId="0" fontId="10" fillId="43" borderId="48" xfId="0" applyFont="1" applyFill="1" applyBorder="1" applyAlignment="1" applyProtection="1">
      <alignment horizontal="center" vertical="center" wrapText="1" shrinkToFit="1"/>
      <protection/>
    </xf>
    <xf numFmtId="192" fontId="23" fillId="0" borderId="0" xfId="0" applyNumberFormat="1" applyFont="1" applyFill="1" applyAlignment="1" applyProtection="1">
      <alignment horizontal="left" vertical="center" shrinkToFit="1"/>
      <protection/>
    </xf>
    <xf numFmtId="0" fontId="10" fillId="43" borderId="81" xfId="0" applyFont="1" applyFill="1" applyBorder="1" applyAlignment="1" applyProtection="1">
      <alignment horizontal="center" vertical="center" shrinkToFit="1"/>
      <protection/>
    </xf>
    <xf numFmtId="0" fontId="10" fillId="43" borderId="82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Border="1" applyAlignment="1" applyProtection="1">
      <alignment horizontal="left" vertical="center" shrinkToFit="1"/>
      <protection/>
    </xf>
    <xf numFmtId="0" fontId="11" fillId="43" borderId="52" xfId="0" applyFont="1" applyFill="1" applyBorder="1" applyAlignment="1" applyProtection="1">
      <alignment horizontal="center" vertical="center" shrinkToFit="1"/>
      <protection/>
    </xf>
    <xf numFmtId="0" fontId="11" fillId="43" borderId="48" xfId="0" applyFont="1" applyFill="1" applyBorder="1" applyAlignment="1" applyProtection="1">
      <alignment horizontal="center" vertical="center" shrinkToFit="1"/>
      <protection/>
    </xf>
    <xf numFmtId="0" fontId="11" fillId="43" borderId="50" xfId="0" applyFont="1" applyFill="1" applyBorder="1" applyAlignment="1" applyProtection="1">
      <alignment horizontal="center" vertical="center" shrinkToFit="1"/>
      <protection/>
    </xf>
    <xf numFmtId="0" fontId="11" fillId="43" borderId="39" xfId="0" applyFont="1" applyFill="1" applyBorder="1" applyAlignment="1" applyProtection="1">
      <alignment horizontal="center" vertical="center" shrinkToFit="1"/>
      <protection/>
    </xf>
    <xf numFmtId="211" fontId="22" fillId="0" borderId="48" xfId="0" applyNumberFormat="1" applyFont="1" applyBorder="1" applyAlignment="1" applyProtection="1">
      <alignment horizontal="right" vertical="center" shrinkToFit="1"/>
      <protection/>
    </xf>
    <xf numFmtId="211" fontId="22" fillId="0" borderId="10" xfId="0" applyNumberFormat="1" applyFont="1" applyBorder="1" applyAlignment="1" applyProtection="1">
      <alignment horizontal="right" vertical="center" shrinkToFit="1"/>
      <protection/>
    </xf>
    <xf numFmtId="0" fontId="22" fillId="42" borderId="48" xfId="0" applyFont="1" applyFill="1" applyBorder="1" applyAlignment="1" applyProtection="1">
      <alignment horizontal="center" vertical="center" shrinkToFit="1"/>
      <protection/>
    </xf>
    <xf numFmtId="0" fontId="22" fillId="42" borderId="10" xfId="0" applyFont="1" applyFill="1" applyBorder="1" applyAlignment="1" applyProtection="1">
      <alignment horizontal="center" vertical="center" shrinkToFit="1"/>
      <protection/>
    </xf>
    <xf numFmtId="0" fontId="11" fillId="16" borderId="52" xfId="0" applyFont="1" applyFill="1" applyBorder="1" applyAlignment="1" applyProtection="1">
      <alignment horizontal="center" vertical="center" wrapText="1" shrinkToFit="1"/>
      <protection/>
    </xf>
    <xf numFmtId="0" fontId="11" fillId="16" borderId="48" xfId="0" applyFont="1" applyFill="1" applyBorder="1" applyAlignment="1" applyProtection="1">
      <alignment horizontal="center" vertical="center" shrinkToFit="1"/>
      <protection/>
    </xf>
    <xf numFmtId="0" fontId="11" fillId="16" borderId="47" xfId="0" applyFont="1" applyFill="1" applyBorder="1" applyAlignment="1" applyProtection="1">
      <alignment horizontal="center" vertical="center" shrinkToFit="1"/>
      <protection/>
    </xf>
    <xf numFmtId="0" fontId="11" fillId="16" borderId="10" xfId="0" applyFont="1" applyFill="1" applyBorder="1" applyAlignment="1" applyProtection="1">
      <alignment horizontal="center" vertical="center" shrinkToFit="1"/>
      <protection/>
    </xf>
    <xf numFmtId="0" fontId="11" fillId="16" borderId="50" xfId="0" applyFont="1" applyFill="1" applyBorder="1" applyAlignment="1" applyProtection="1">
      <alignment horizontal="center" vertical="center" shrinkToFit="1"/>
      <protection/>
    </xf>
    <xf numFmtId="0" fontId="11" fillId="16" borderId="39" xfId="0" applyFont="1" applyFill="1" applyBorder="1" applyAlignment="1" applyProtection="1">
      <alignment horizontal="center" vertical="center" shrinkToFit="1"/>
      <protection/>
    </xf>
    <xf numFmtId="183" fontId="22" fillId="39" borderId="48" xfId="0" applyNumberFormat="1" applyFont="1" applyFill="1" applyBorder="1" applyAlignment="1" applyProtection="1">
      <alignment horizontal="center" vertical="center" shrinkToFit="1"/>
      <protection locked="0"/>
    </xf>
    <xf numFmtId="183" fontId="22" fillId="39" borderId="10" xfId="0" applyNumberFormat="1" applyFont="1" applyFill="1" applyBorder="1" applyAlignment="1" applyProtection="1">
      <alignment horizontal="center" vertical="center" shrinkToFit="1"/>
      <protection locked="0"/>
    </xf>
    <xf numFmtId="188" fontId="23" fillId="0" borderId="0" xfId="0" applyNumberFormat="1" applyFont="1" applyFill="1" applyAlignment="1" applyProtection="1">
      <alignment horizontal="left" vertical="center" shrinkToFit="1"/>
      <protection/>
    </xf>
    <xf numFmtId="0" fontId="10" fillId="0" borderId="52" xfId="0" applyFont="1" applyBorder="1" applyAlignment="1" applyProtection="1">
      <alignment horizontal="center" vertical="center" shrinkToFit="1"/>
      <protection/>
    </xf>
    <xf numFmtId="0" fontId="10" fillId="0" borderId="48" xfId="0" applyFont="1" applyBorder="1" applyAlignment="1" applyProtection="1">
      <alignment horizontal="center" vertical="center" shrinkToFit="1"/>
      <protection/>
    </xf>
    <xf numFmtId="0" fontId="10" fillId="0" borderId="47" xfId="0" applyFont="1" applyBorder="1" applyAlignment="1" applyProtection="1">
      <alignment horizontal="center" vertical="center" shrinkToFit="1"/>
      <protection/>
    </xf>
    <xf numFmtId="0" fontId="10" fillId="0" borderId="10" xfId="0" applyFont="1" applyBorder="1" applyAlignment="1" applyProtection="1">
      <alignment horizontal="center" vertical="center" shrinkToFit="1"/>
      <protection/>
    </xf>
    <xf numFmtId="213" fontId="23" fillId="0" borderId="0" xfId="0" applyNumberFormat="1" applyFont="1" applyFill="1" applyAlignment="1" applyProtection="1">
      <alignment horizontal="left" vertical="center" shrinkToFit="1"/>
      <protection/>
    </xf>
    <xf numFmtId="0" fontId="22" fillId="39" borderId="49" xfId="0" applyFont="1" applyFill="1" applyBorder="1" applyAlignment="1" applyProtection="1">
      <alignment horizontal="center" vertical="center" shrinkToFit="1"/>
      <protection locked="0"/>
    </xf>
    <xf numFmtId="0" fontId="22" fillId="39" borderId="44" xfId="0" applyFont="1" applyFill="1" applyBorder="1" applyAlignment="1" applyProtection="1">
      <alignment horizontal="center" vertical="center" shrinkToFit="1"/>
      <protection locked="0"/>
    </xf>
    <xf numFmtId="211" fontId="19" fillId="0" borderId="67" xfId="0" applyNumberFormat="1" applyFont="1" applyBorder="1" applyAlignment="1" applyProtection="1">
      <alignment horizontal="center" vertical="center" shrinkToFit="1"/>
      <protection/>
    </xf>
    <xf numFmtId="0" fontId="10" fillId="0" borderId="50" xfId="0" applyFont="1" applyBorder="1" applyAlignment="1" applyProtection="1">
      <alignment horizontal="center" vertical="center" shrinkToFit="1"/>
      <protection/>
    </xf>
    <xf numFmtId="0" fontId="10" fillId="0" borderId="39" xfId="0" applyFont="1" applyBorder="1" applyAlignment="1" applyProtection="1">
      <alignment horizontal="center" vertical="center" shrinkToFit="1"/>
      <protection/>
    </xf>
    <xf numFmtId="0" fontId="12" fillId="16" borderId="53" xfId="0" applyFont="1" applyFill="1" applyBorder="1" applyAlignment="1" applyProtection="1">
      <alignment horizontal="center" vertical="center" shrinkToFit="1"/>
      <protection/>
    </xf>
    <xf numFmtId="0" fontId="11" fillId="44" borderId="52" xfId="0" applyFont="1" applyFill="1" applyBorder="1" applyAlignment="1" applyProtection="1">
      <alignment horizontal="center" vertical="center" shrinkToFit="1"/>
      <protection/>
    </xf>
    <xf numFmtId="0" fontId="11" fillId="44" borderId="48" xfId="0" applyFont="1" applyFill="1" applyBorder="1" applyAlignment="1" applyProtection="1">
      <alignment horizontal="center" vertical="center" shrinkToFit="1"/>
      <protection/>
    </xf>
    <xf numFmtId="0" fontId="11" fillId="44" borderId="47" xfId="0" applyFont="1" applyFill="1" applyBorder="1" applyAlignment="1" applyProtection="1">
      <alignment horizontal="center" vertical="center" shrinkToFit="1"/>
      <protection/>
    </xf>
    <xf numFmtId="0" fontId="11" fillId="44" borderId="10" xfId="0" applyFont="1" applyFill="1" applyBorder="1" applyAlignment="1" applyProtection="1">
      <alignment horizontal="center" vertical="center" shrinkToFit="1"/>
      <protection/>
    </xf>
    <xf numFmtId="0" fontId="11" fillId="44" borderId="50" xfId="0" applyFont="1" applyFill="1" applyBorder="1" applyAlignment="1" applyProtection="1">
      <alignment horizontal="center" vertical="center" shrinkToFit="1"/>
      <protection/>
    </xf>
    <xf numFmtId="0" fontId="11" fillId="44" borderId="39" xfId="0" applyFont="1" applyFill="1" applyBorder="1" applyAlignment="1" applyProtection="1">
      <alignment horizontal="center" vertical="center" shrinkToFit="1"/>
      <protection/>
    </xf>
    <xf numFmtId="0" fontId="12" fillId="44" borderId="53" xfId="0" applyFont="1" applyFill="1" applyBorder="1" applyAlignment="1" applyProtection="1">
      <alignment horizontal="center" vertical="center" shrinkToFit="1"/>
      <protection/>
    </xf>
    <xf numFmtId="0" fontId="22" fillId="39" borderId="51" xfId="0" applyFont="1" applyFill="1" applyBorder="1" applyAlignment="1" applyProtection="1">
      <alignment horizontal="center" vertical="center" shrinkToFit="1"/>
      <protection locked="0"/>
    </xf>
    <xf numFmtId="0" fontId="22" fillId="42" borderId="39" xfId="0" applyFont="1" applyFill="1" applyBorder="1" applyAlignment="1" applyProtection="1">
      <alignment horizontal="center" vertical="center" shrinkToFit="1"/>
      <protection/>
    </xf>
    <xf numFmtId="211" fontId="22" fillId="0" borderId="39" xfId="0" applyNumberFormat="1" applyFont="1" applyBorder="1" applyAlignment="1" applyProtection="1">
      <alignment horizontal="right" vertical="center" shrinkToFit="1"/>
      <protection/>
    </xf>
    <xf numFmtId="0" fontId="12" fillId="12" borderId="53" xfId="0" applyFont="1" applyFill="1" applyBorder="1" applyAlignment="1" applyProtection="1">
      <alignment horizontal="center" vertical="center" shrinkToFit="1"/>
      <protection/>
    </xf>
    <xf numFmtId="0" fontId="23" fillId="0" borderId="0" xfId="0" applyFont="1" applyFill="1" applyAlignment="1" applyProtection="1">
      <alignment vertical="center" shrinkToFit="1"/>
      <protection/>
    </xf>
    <xf numFmtId="0" fontId="11" fillId="43" borderId="73" xfId="0" applyFont="1" applyFill="1" applyBorder="1" applyAlignment="1" applyProtection="1">
      <alignment horizontal="center" vertical="center" shrinkToFit="1"/>
      <protection/>
    </xf>
    <xf numFmtId="0" fontId="11" fillId="43" borderId="64" xfId="0" applyFont="1" applyFill="1" applyBorder="1" applyAlignment="1" applyProtection="1">
      <alignment horizontal="center" vertical="center" shrinkToFit="1"/>
      <protection/>
    </xf>
    <xf numFmtId="0" fontId="11" fillId="16" borderId="49" xfId="0" applyFont="1" applyFill="1" applyBorder="1" applyAlignment="1" applyProtection="1">
      <alignment horizontal="center" vertical="center" shrinkToFit="1"/>
      <protection/>
    </xf>
    <xf numFmtId="0" fontId="11" fillId="16" borderId="44" xfId="0" applyFont="1" applyFill="1" applyBorder="1" applyAlignment="1" applyProtection="1">
      <alignment horizontal="center" vertical="center" shrinkToFit="1"/>
      <protection/>
    </xf>
    <xf numFmtId="0" fontId="12" fillId="43" borderId="48" xfId="0" applyFont="1" applyFill="1" applyBorder="1" applyAlignment="1" applyProtection="1">
      <alignment horizontal="center" vertical="center" shrinkToFit="1"/>
      <protection/>
    </xf>
    <xf numFmtId="0" fontId="12" fillId="12" borderId="66" xfId="0" applyFont="1" applyFill="1" applyBorder="1" applyAlignment="1" applyProtection="1">
      <alignment horizontal="center" vertical="center" shrinkToFit="1"/>
      <protection/>
    </xf>
    <xf numFmtId="183" fontId="22" fillId="39" borderId="39" xfId="0" applyNumberFormat="1" applyFont="1" applyFill="1" applyBorder="1" applyAlignment="1" applyProtection="1">
      <alignment horizontal="center" vertical="center" shrinkToFit="1"/>
      <protection locked="0"/>
    </xf>
    <xf numFmtId="209" fontId="39" fillId="19" borderId="73" xfId="0" applyNumberFormat="1" applyFont="1" applyFill="1" applyBorder="1" applyAlignment="1" applyProtection="1">
      <alignment horizontal="center" vertical="center" shrinkToFit="1"/>
      <protection/>
    </xf>
    <xf numFmtId="209" fontId="39" fillId="19" borderId="74" xfId="0" applyNumberFormat="1" applyFont="1" applyFill="1" applyBorder="1" applyAlignment="1" applyProtection="1">
      <alignment horizontal="center" vertical="center" shrinkToFit="1"/>
      <protection/>
    </xf>
    <xf numFmtId="209" fontId="39" fillId="19" borderId="64" xfId="0" applyNumberFormat="1" applyFont="1" applyFill="1" applyBorder="1" applyAlignment="1" applyProtection="1">
      <alignment horizontal="center" vertical="center" shrinkToFit="1"/>
      <protection/>
    </xf>
    <xf numFmtId="0" fontId="11" fillId="44" borderId="52" xfId="0" applyFont="1" applyFill="1" applyBorder="1" applyAlignment="1" applyProtection="1">
      <alignment horizontal="center" vertical="center" wrapText="1" shrinkToFit="1"/>
      <protection/>
    </xf>
    <xf numFmtId="0" fontId="11" fillId="44" borderId="49" xfId="0" applyFont="1" applyFill="1" applyBorder="1" applyAlignment="1" applyProtection="1">
      <alignment horizontal="center" vertical="center" shrinkToFit="1"/>
      <protection/>
    </xf>
    <xf numFmtId="0" fontId="11" fillId="44" borderId="44" xfId="0" applyFont="1" applyFill="1" applyBorder="1" applyAlignment="1" applyProtection="1">
      <alignment horizontal="center" vertical="center" shrinkToFit="1"/>
      <protection/>
    </xf>
    <xf numFmtId="0" fontId="11" fillId="12" borderId="52" xfId="0" applyFont="1" applyFill="1" applyBorder="1" applyAlignment="1" applyProtection="1">
      <alignment horizontal="center" vertical="center" wrapText="1" shrinkToFit="1"/>
      <protection/>
    </xf>
    <xf numFmtId="0" fontId="11" fillId="12" borderId="49" xfId="0" applyFont="1" applyFill="1" applyBorder="1" applyAlignment="1" applyProtection="1">
      <alignment horizontal="center" vertical="center" shrinkToFit="1"/>
      <protection/>
    </xf>
    <xf numFmtId="0" fontId="11" fillId="12" borderId="47" xfId="0" applyFont="1" applyFill="1" applyBorder="1" applyAlignment="1" applyProtection="1">
      <alignment horizontal="center" vertical="center" shrinkToFit="1"/>
      <protection/>
    </xf>
    <xf numFmtId="0" fontId="11" fillId="12" borderId="44" xfId="0" applyFont="1" applyFill="1" applyBorder="1" applyAlignment="1" applyProtection="1">
      <alignment horizontal="center" vertical="center" shrinkToFit="1"/>
      <protection/>
    </xf>
    <xf numFmtId="0" fontId="38" fillId="0" borderId="0" xfId="0" applyFont="1" applyFill="1" applyAlignment="1" applyProtection="1">
      <alignment vertical="center" shrinkToFit="1"/>
      <protection/>
    </xf>
    <xf numFmtId="191" fontId="23" fillId="0" borderId="0" xfId="0" applyNumberFormat="1" applyFont="1" applyFill="1" applyAlignment="1" applyProtection="1">
      <alignment horizontal="left" vertical="center" shrinkToFit="1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211" fontId="19" fillId="0" borderId="53" xfId="0" applyNumberFormat="1" applyFont="1" applyBorder="1" applyAlignment="1" applyProtection="1">
      <alignment horizontal="center" vertical="center" shrinkToFit="1"/>
      <protection/>
    </xf>
    <xf numFmtId="211" fontId="19" fillId="0" borderId="54" xfId="0" applyNumberFormat="1" applyFont="1" applyBorder="1" applyAlignment="1" applyProtection="1">
      <alignment horizontal="center" vertical="center" shrinkToFit="1"/>
      <protection/>
    </xf>
    <xf numFmtId="211" fontId="19" fillId="0" borderId="56" xfId="0" applyNumberFormat="1" applyFont="1" applyBorder="1" applyAlignment="1" applyProtection="1">
      <alignment horizontal="center" vertical="center" shrinkToFit="1"/>
      <protection/>
    </xf>
    <xf numFmtId="0" fontId="11" fillId="13" borderId="83" xfId="0" applyFont="1" applyFill="1" applyBorder="1" applyAlignment="1" applyProtection="1">
      <alignment horizontal="center" vertical="center" wrapText="1" shrinkToFit="1"/>
      <protection/>
    </xf>
    <xf numFmtId="0" fontId="11" fillId="13" borderId="84" xfId="0" applyFont="1" applyFill="1" applyBorder="1" applyAlignment="1" applyProtection="1">
      <alignment horizontal="center" vertical="center" wrapText="1" shrinkToFit="1"/>
      <protection/>
    </xf>
    <xf numFmtId="0" fontId="11" fillId="13" borderId="85" xfId="0" applyFont="1" applyFill="1" applyBorder="1" applyAlignment="1" applyProtection="1">
      <alignment horizontal="center" vertical="center" wrapText="1" shrinkToFit="1"/>
      <protection/>
    </xf>
    <xf numFmtId="211" fontId="29" fillId="0" borderId="83" xfId="0" applyNumberFormat="1" applyFont="1" applyFill="1" applyBorder="1" applyAlignment="1" applyProtection="1">
      <alignment horizontal="center" vertical="center" shrinkToFit="1"/>
      <protection/>
    </xf>
    <xf numFmtId="211" fontId="29" fillId="0" borderId="84" xfId="0" applyNumberFormat="1" applyFont="1" applyFill="1" applyBorder="1" applyAlignment="1" applyProtection="1">
      <alignment horizontal="center" vertical="center" shrinkToFit="1"/>
      <protection/>
    </xf>
    <xf numFmtId="211" fontId="29" fillId="0" borderId="85" xfId="0" applyNumberFormat="1" applyFont="1" applyFill="1" applyBorder="1" applyAlignment="1" applyProtection="1">
      <alignment horizontal="center" vertical="center" shrinkToFit="1"/>
      <protection/>
    </xf>
    <xf numFmtId="211" fontId="28" fillId="0" borderId="0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Alignment="1" applyProtection="1">
      <alignment horizontal="center" vertical="center" shrinkToFit="1"/>
      <protection/>
    </xf>
    <xf numFmtId="0" fontId="10" fillId="11" borderId="73" xfId="0" applyFont="1" applyFill="1" applyBorder="1" applyAlignment="1" applyProtection="1">
      <alignment horizontal="center" vertical="center" shrinkToFit="1"/>
      <protection/>
    </xf>
    <xf numFmtId="0" fontId="10" fillId="11" borderId="64" xfId="0" applyFont="1" applyFill="1" applyBorder="1" applyAlignment="1" applyProtection="1">
      <alignment horizontal="center" vertical="center" shrinkToFit="1"/>
      <protection/>
    </xf>
    <xf numFmtId="0" fontId="19" fillId="0" borderId="73" xfId="0" applyFont="1" applyFill="1" applyBorder="1" applyAlignment="1" applyProtection="1">
      <alignment horizontal="center" vertical="center" shrinkToFit="1"/>
      <protection/>
    </xf>
    <xf numFmtId="0" fontId="19" fillId="0" borderId="64" xfId="0" applyFont="1" applyFill="1" applyBorder="1" applyAlignment="1" applyProtection="1">
      <alignment horizontal="center" vertical="center" shrinkToFit="1"/>
      <protection/>
    </xf>
    <xf numFmtId="0" fontId="12" fillId="11" borderId="65" xfId="0" applyFont="1" applyFill="1" applyBorder="1" applyAlignment="1" applyProtection="1">
      <alignment horizontal="center" vertical="center" shrinkToFit="1"/>
      <protection/>
    </xf>
    <xf numFmtId="0" fontId="12" fillId="11" borderId="54" xfId="0" applyFont="1" applyFill="1" applyBorder="1" applyAlignment="1" applyProtection="1">
      <alignment horizontal="center" vertical="center" shrinkToFit="1"/>
      <protection/>
    </xf>
    <xf numFmtId="211" fontId="19" fillId="0" borderId="48" xfId="0" applyNumberFormat="1" applyFont="1" applyBorder="1" applyAlignment="1" applyProtection="1">
      <alignment horizontal="center" vertical="center" shrinkToFit="1"/>
      <protection/>
    </xf>
    <xf numFmtId="211" fontId="19" fillId="0" borderId="49" xfId="0" applyNumberFormat="1" applyFont="1" applyBorder="1" applyAlignment="1" applyProtection="1">
      <alignment horizontal="center" vertical="center" shrinkToFit="1"/>
      <protection/>
    </xf>
    <xf numFmtId="211" fontId="19" fillId="0" borderId="10" xfId="0" applyNumberFormat="1" applyFont="1" applyBorder="1" applyAlignment="1" applyProtection="1">
      <alignment horizontal="center" vertical="center" shrinkToFit="1"/>
      <protection/>
    </xf>
    <xf numFmtId="211" fontId="19" fillId="0" borderId="44" xfId="0" applyNumberFormat="1" applyFont="1" applyBorder="1" applyAlignment="1" applyProtection="1">
      <alignment horizontal="center" vertical="center" shrinkToFit="1"/>
      <protection/>
    </xf>
    <xf numFmtId="211" fontId="19" fillId="0" borderId="39" xfId="0" applyNumberFormat="1" applyFont="1" applyBorder="1" applyAlignment="1" applyProtection="1">
      <alignment horizontal="center" vertical="center" shrinkToFit="1"/>
      <protection/>
    </xf>
    <xf numFmtId="211" fontId="19" fillId="0" borderId="51" xfId="0" applyNumberFormat="1" applyFont="1" applyBorder="1" applyAlignment="1" applyProtection="1">
      <alignment horizontal="center" vertical="center" shrinkToFit="1"/>
      <protection/>
    </xf>
    <xf numFmtId="0" fontId="10" fillId="11" borderId="83" xfId="0" applyFont="1" applyFill="1" applyBorder="1" applyAlignment="1" applyProtection="1">
      <alignment horizontal="center" vertical="center" shrinkToFit="1"/>
      <protection/>
    </xf>
    <xf numFmtId="0" fontId="10" fillId="11" borderId="85" xfId="0" applyFont="1" applyFill="1" applyBorder="1" applyAlignment="1" applyProtection="1">
      <alignment horizontal="center" vertical="center" shrinkToFit="1"/>
      <protection/>
    </xf>
    <xf numFmtId="0" fontId="10" fillId="11" borderId="84" xfId="0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所得表前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381000</xdr:colOff>
      <xdr:row>53</xdr:row>
      <xdr:rowOff>304800</xdr:rowOff>
    </xdr:from>
    <xdr:to>
      <xdr:col>8</xdr:col>
      <xdr:colOff>933450</xdr:colOff>
      <xdr:row>56</xdr:row>
      <xdr:rowOff>85725</xdr:rowOff>
    </xdr:to>
    <xdr:sp>
      <xdr:nvSpPr>
        <xdr:cNvPr id="1" name="右矢印 1"/>
        <xdr:cNvSpPr>
          <a:spLocks/>
        </xdr:cNvSpPr>
      </xdr:nvSpPr>
      <xdr:spPr>
        <a:xfrm>
          <a:off x="8382000" y="15630525"/>
          <a:ext cx="552450" cy="1009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466725</xdr:colOff>
      <xdr:row>58</xdr:row>
      <xdr:rowOff>95250</xdr:rowOff>
    </xdr:from>
    <xdr:to>
      <xdr:col>8</xdr:col>
      <xdr:colOff>942975</xdr:colOff>
      <xdr:row>59</xdr:row>
      <xdr:rowOff>257175</xdr:rowOff>
    </xdr:to>
    <xdr:sp>
      <xdr:nvSpPr>
        <xdr:cNvPr id="2" name="右矢印 1"/>
        <xdr:cNvSpPr>
          <a:spLocks/>
        </xdr:cNvSpPr>
      </xdr:nvSpPr>
      <xdr:spPr>
        <a:xfrm>
          <a:off x="4895850" y="17211675"/>
          <a:ext cx="4048125" cy="571500"/>
        </a:xfrm>
        <a:prstGeom prst="rightArrow">
          <a:avLst>
            <a:gd name="adj" fmla="val 42939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72"/>
  <sheetViews>
    <sheetView zoomScale="85" zoomScaleNormal="85" zoomScalePageLayoutView="0" workbookViewId="0" topLeftCell="A28">
      <selection activeCell="C23" sqref="C23"/>
    </sheetView>
  </sheetViews>
  <sheetFormatPr defaultColWidth="9.00390625" defaultRowHeight="13.5"/>
  <cols>
    <col min="1" max="1" width="14.625" style="3" bestFit="1" customWidth="1"/>
    <col min="2" max="4" width="11.625" style="3" customWidth="1"/>
    <col min="5" max="5" width="11.625" style="23" customWidth="1"/>
    <col min="6" max="15" width="11.625" style="3" customWidth="1"/>
    <col min="16" max="17" width="30.75390625" style="3" customWidth="1"/>
    <col min="18" max="16384" width="9.00390625" style="3" customWidth="1"/>
  </cols>
  <sheetData>
    <row r="1" spans="1:13" ht="13.5">
      <c r="A1" s="1" t="s">
        <v>3</v>
      </c>
      <c r="B1" s="2"/>
      <c r="C1" s="1" t="s">
        <v>3</v>
      </c>
      <c r="D1" s="2"/>
      <c r="E1" s="1" t="s">
        <v>3</v>
      </c>
      <c r="F1" s="2"/>
      <c r="G1" s="1" t="s">
        <v>3</v>
      </c>
      <c r="H1" s="2"/>
      <c r="I1" s="1" t="s">
        <v>42</v>
      </c>
      <c r="J1" s="2"/>
      <c r="L1" s="222"/>
      <c r="M1" s="222"/>
    </row>
    <row r="2" spans="1:12" ht="13.5">
      <c r="A2" s="4" t="s">
        <v>5</v>
      </c>
      <c r="B2" s="5">
        <f>'試算シミュレーション'!D21</f>
        <v>0</v>
      </c>
      <c r="C2" s="4" t="s">
        <v>5</v>
      </c>
      <c r="D2" s="5">
        <f>'試算シミュレーション'!D23</f>
        <v>0</v>
      </c>
      <c r="E2" s="4" t="s">
        <v>5</v>
      </c>
      <c r="F2" s="5">
        <f>'試算シミュレーション'!D25</f>
        <v>0</v>
      </c>
      <c r="G2" s="4" t="s">
        <v>5</v>
      </c>
      <c r="H2" s="5">
        <f>'試算シミュレーション'!D27</f>
        <v>0</v>
      </c>
      <c r="I2" s="4" t="s">
        <v>41</v>
      </c>
      <c r="J2" s="5">
        <f>'試算シミュレーション'!D36</f>
        <v>0</v>
      </c>
      <c r="L2" s="6"/>
    </row>
    <row r="3" spans="1:13" ht="14.25">
      <c r="A3" s="7">
        <v>0</v>
      </c>
      <c r="B3" s="8">
        <v>0</v>
      </c>
      <c r="C3" s="7">
        <v>0</v>
      </c>
      <c r="D3" s="8">
        <v>0</v>
      </c>
      <c r="E3" s="7">
        <v>0</v>
      </c>
      <c r="F3" s="8">
        <v>0</v>
      </c>
      <c r="G3" s="7">
        <v>0</v>
      </c>
      <c r="H3" s="8">
        <v>0</v>
      </c>
      <c r="I3" s="7">
        <v>0</v>
      </c>
      <c r="J3" s="8">
        <v>0</v>
      </c>
      <c r="M3" s="84"/>
    </row>
    <row r="4" spans="1:13" ht="14.25">
      <c r="A4" s="7">
        <v>551000</v>
      </c>
      <c r="B4" s="8">
        <f>B2-550000</f>
        <v>-550000</v>
      </c>
      <c r="C4" s="7">
        <v>551000</v>
      </c>
      <c r="D4" s="8">
        <f>D2-550000</f>
        <v>-550000</v>
      </c>
      <c r="E4" s="7">
        <v>551000</v>
      </c>
      <c r="F4" s="8">
        <f>F2-550000</f>
        <v>-550000</v>
      </c>
      <c r="G4" s="7">
        <v>551000</v>
      </c>
      <c r="H4" s="8">
        <f>H2-550000</f>
        <v>-550000</v>
      </c>
      <c r="I4" s="7">
        <v>551000</v>
      </c>
      <c r="J4" s="8">
        <f>J2-550000</f>
        <v>-550000</v>
      </c>
      <c r="M4" s="84"/>
    </row>
    <row r="5" spans="1:13" ht="14.25">
      <c r="A5" s="7">
        <v>1619000</v>
      </c>
      <c r="B5" s="8">
        <v>1069000</v>
      </c>
      <c r="C5" s="7">
        <v>1619000</v>
      </c>
      <c r="D5" s="8">
        <v>1069000</v>
      </c>
      <c r="E5" s="7">
        <v>1619000</v>
      </c>
      <c r="F5" s="8">
        <v>1069000</v>
      </c>
      <c r="G5" s="7">
        <v>1619000</v>
      </c>
      <c r="H5" s="8">
        <v>1069000</v>
      </c>
      <c r="I5" s="7">
        <v>1619000</v>
      </c>
      <c r="J5" s="8">
        <v>1069000</v>
      </c>
      <c r="M5" s="84"/>
    </row>
    <row r="6" spans="1:13" ht="14.25">
      <c r="A6" s="7">
        <v>1620000</v>
      </c>
      <c r="B6" s="8">
        <v>1070000</v>
      </c>
      <c r="C6" s="7">
        <v>1620000</v>
      </c>
      <c r="D6" s="8">
        <v>1070000</v>
      </c>
      <c r="E6" s="7">
        <v>1620000</v>
      </c>
      <c r="F6" s="8">
        <v>1070000</v>
      </c>
      <c r="G6" s="7">
        <v>1620000</v>
      </c>
      <c r="H6" s="8">
        <v>1070000</v>
      </c>
      <c r="I6" s="7">
        <v>1620000</v>
      </c>
      <c r="J6" s="8">
        <v>1070000</v>
      </c>
      <c r="M6" s="84"/>
    </row>
    <row r="7" spans="1:13" ht="14.25">
      <c r="A7" s="7">
        <v>1622000</v>
      </c>
      <c r="B7" s="8">
        <v>1072000</v>
      </c>
      <c r="C7" s="7">
        <v>1622000</v>
      </c>
      <c r="D7" s="8">
        <v>1072000</v>
      </c>
      <c r="E7" s="7">
        <v>1622000</v>
      </c>
      <c r="F7" s="8">
        <v>1072000</v>
      </c>
      <c r="G7" s="7">
        <v>1622000</v>
      </c>
      <c r="H7" s="8">
        <v>1072000</v>
      </c>
      <c r="I7" s="7">
        <v>1622000</v>
      </c>
      <c r="J7" s="8">
        <v>1072000</v>
      </c>
      <c r="M7" s="84"/>
    </row>
    <row r="8" spans="1:13" ht="14.25">
      <c r="A8" s="7">
        <v>1624000</v>
      </c>
      <c r="B8" s="8">
        <v>1074000</v>
      </c>
      <c r="C8" s="7">
        <v>1624000</v>
      </c>
      <c r="D8" s="8">
        <v>1074000</v>
      </c>
      <c r="E8" s="7">
        <v>1624000</v>
      </c>
      <c r="F8" s="8">
        <v>1074000</v>
      </c>
      <c r="G8" s="7">
        <v>1624000</v>
      </c>
      <c r="H8" s="8">
        <v>1074000</v>
      </c>
      <c r="I8" s="7">
        <v>1624000</v>
      </c>
      <c r="J8" s="8">
        <v>1074000</v>
      </c>
      <c r="M8" s="84"/>
    </row>
    <row r="9" spans="1:13" ht="14.25">
      <c r="A9" s="7">
        <v>1628000</v>
      </c>
      <c r="B9" s="8">
        <f>ROUNDDOWN(B2/4000,0)*2400+100000</f>
        <v>100000</v>
      </c>
      <c r="C9" s="7">
        <v>1628000</v>
      </c>
      <c r="D9" s="8">
        <f>ROUNDDOWN(D2/4000,0)*2400+100000</f>
        <v>100000</v>
      </c>
      <c r="E9" s="7">
        <v>1628000</v>
      </c>
      <c r="F9" s="8">
        <f>ROUNDDOWN(F2/4000,0)*2400+100000</f>
        <v>100000</v>
      </c>
      <c r="G9" s="7">
        <v>1628000</v>
      </c>
      <c r="H9" s="8">
        <f>ROUNDDOWN(H2/4000,0)*2400+100000</f>
        <v>100000</v>
      </c>
      <c r="I9" s="7">
        <v>1628000</v>
      </c>
      <c r="J9" s="8">
        <f>ROUNDDOWN(J2/4000,0)*2400+100000</f>
        <v>100000</v>
      </c>
      <c r="M9" s="84"/>
    </row>
    <row r="10" spans="1:13" ht="14.25">
      <c r="A10" s="7">
        <v>1800000</v>
      </c>
      <c r="B10" s="8">
        <f>ROUNDDOWN(B2/4000,0)*2800-80000</f>
        <v>-80000</v>
      </c>
      <c r="C10" s="7">
        <v>1800000</v>
      </c>
      <c r="D10" s="8">
        <f>ROUNDDOWN(D2/4000,0)*2800-80000</f>
        <v>-80000</v>
      </c>
      <c r="E10" s="7">
        <v>1800000</v>
      </c>
      <c r="F10" s="8">
        <f>ROUNDDOWN(F2/4000,0)*2800-80000</f>
        <v>-80000</v>
      </c>
      <c r="G10" s="7">
        <v>1800000</v>
      </c>
      <c r="H10" s="8">
        <f>ROUNDDOWN(H2/4000,0)*2800-80000</f>
        <v>-80000</v>
      </c>
      <c r="I10" s="7">
        <v>1800000</v>
      </c>
      <c r="J10" s="8">
        <f>ROUNDDOWN(J2/4000,0)*2800-80000</f>
        <v>-80000</v>
      </c>
      <c r="M10" s="84"/>
    </row>
    <row r="11" spans="1:16" ht="14.25">
      <c r="A11" s="7">
        <v>3600000</v>
      </c>
      <c r="B11" s="8">
        <f>(ROUNDDOWN(B2/4000,0)*3200)-440000</f>
        <v>-440000</v>
      </c>
      <c r="C11" s="7">
        <v>3600000</v>
      </c>
      <c r="D11" s="8">
        <f>(ROUNDDOWN(D2/4000,0)*3200)-440000</f>
        <v>-440000</v>
      </c>
      <c r="E11" s="7">
        <v>3600000</v>
      </c>
      <c r="F11" s="8">
        <f>(ROUNDDOWN(F2/4000,0)*3200)-440000</f>
        <v>-440000</v>
      </c>
      <c r="G11" s="7">
        <v>3600000</v>
      </c>
      <c r="H11" s="8">
        <f>(ROUNDDOWN(H2/4000,0)*3200)-440000</f>
        <v>-440000</v>
      </c>
      <c r="I11" s="7">
        <v>3600000</v>
      </c>
      <c r="J11" s="8">
        <f>(ROUNDDOWN(J2/4000,0)*3200)-440000</f>
        <v>-440000</v>
      </c>
      <c r="M11" s="84"/>
      <c r="P11" s="6"/>
    </row>
    <row r="12" spans="1:10" ht="13.5">
      <c r="A12" s="7">
        <v>6600000</v>
      </c>
      <c r="B12" s="8">
        <f>ROUNDDOWN(B2*0.9-1100000,0)</f>
        <v>-1100000</v>
      </c>
      <c r="C12" s="7">
        <v>6600000</v>
      </c>
      <c r="D12" s="8">
        <f>ROUNDDOWN(D2*0.9-1100000,0)</f>
        <v>-1100000</v>
      </c>
      <c r="E12" s="7">
        <v>6600000</v>
      </c>
      <c r="F12" s="8">
        <f>ROUNDDOWN(F2*0.9-1100000,0)</f>
        <v>-1100000</v>
      </c>
      <c r="G12" s="7">
        <v>6600000</v>
      </c>
      <c r="H12" s="8">
        <f>ROUNDDOWN(H2*0.9-1100000,0)</f>
        <v>-1100000</v>
      </c>
      <c r="I12" s="7">
        <v>6600000</v>
      </c>
      <c r="J12" s="8">
        <f>ROUNDDOWN(J2*0.9-1100000,0)</f>
        <v>-1100000</v>
      </c>
    </row>
    <row r="13" spans="1:12" ht="13.5">
      <c r="A13" s="7">
        <v>8500000</v>
      </c>
      <c r="B13" s="8">
        <f>ROUNDDOWN(B2-1950000,0)</f>
        <v>-1950000</v>
      </c>
      <c r="C13" s="7">
        <v>8500000</v>
      </c>
      <c r="D13" s="8">
        <f>ROUNDDOWN(D2-1950000,0)</f>
        <v>-1950000</v>
      </c>
      <c r="E13" s="7">
        <v>8500000</v>
      </c>
      <c r="F13" s="8">
        <f>ROUNDDOWN(F2-1950000,0)</f>
        <v>-1950000</v>
      </c>
      <c r="G13" s="7">
        <v>8500000</v>
      </c>
      <c r="H13" s="8">
        <f>ROUNDDOWN(H2-1950000,0)</f>
        <v>-1950000</v>
      </c>
      <c r="I13" s="7">
        <v>8500000</v>
      </c>
      <c r="J13" s="8">
        <f>ROUNDDOWN(J2-1950000,0)</f>
        <v>-1950000</v>
      </c>
      <c r="L13" s="6"/>
    </row>
    <row r="14" spans="1:8" ht="13.5">
      <c r="A14" s="9"/>
      <c r="B14" s="10"/>
      <c r="C14" s="9"/>
      <c r="D14" s="10"/>
      <c r="E14" s="9"/>
      <c r="F14" s="10"/>
      <c r="G14" s="9"/>
      <c r="H14" s="10"/>
    </row>
    <row r="15" spans="1:8" ht="13.5">
      <c r="A15" s="11"/>
      <c r="B15" s="11"/>
      <c r="C15" s="11"/>
      <c r="D15" s="11"/>
      <c r="E15" s="11"/>
      <c r="F15" s="11"/>
      <c r="G15" s="11"/>
      <c r="H15" s="11"/>
    </row>
    <row r="16" spans="1:8" ht="13.5">
      <c r="A16" s="11"/>
      <c r="B16" s="11"/>
      <c r="C16" s="11"/>
      <c r="D16" s="11"/>
      <c r="E16" s="11"/>
      <c r="F16" s="11"/>
      <c r="G16" s="11"/>
      <c r="H16" s="11"/>
    </row>
    <row r="17" spans="1:10" ht="13.5">
      <c r="A17" s="1" t="s">
        <v>4</v>
      </c>
      <c r="B17" s="2"/>
      <c r="C17" s="1" t="s">
        <v>4</v>
      </c>
      <c r="D17" s="2"/>
      <c r="E17" s="1" t="s">
        <v>4</v>
      </c>
      <c r="F17" s="2"/>
      <c r="G17" s="1" t="s">
        <v>4</v>
      </c>
      <c r="H17" s="2"/>
      <c r="I17" s="1" t="s">
        <v>108</v>
      </c>
      <c r="J17" s="2"/>
    </row>
    <row r="18" spans="1:10" ht="13.5">
      <c r="A18" s="12" t="s">
        <v>6</v>
      </c>
      <c r="B18" s="13"/>
      <c r="C18" s="12" t="s">
        <v>6</v>
      </c>
      <c r="D18" s="13"/>
      <c r="E18" s="12" t="s">
        <v>6</v>
      </c>
      <c r="F18" s="13"/>
      <c r="G18" s="12" t="s">
        <v>6</v>
      </c>
      <c r="H18" s="13"/>
      <c r="I18" s="12" t="s">
        <v>6</v>
      </c>
      <c r="J18" s="13"/>
    </row>
    <row r="19" spans="1:10" ht="13.5">
      <c r="A19" s="14" t="s">
        <v>7</v>
      </c>
      <c r="B19" s="15">
        <f>'試算シミュレーション'!E21</f>
        <v>0</v>
      </c>
      <c r="C19" s="14" t="s">
        <v>7</v>
      </c>
      <c r="D19" s="15">
        <f>'試算シミュレーション'!E23</f>
        <v>0</v>
      </c>
      <c r="E19" s="14" t="s">
        <v>7</v>
      </c>
      <c r="F19" s="15">
        <f>'試算シミュレーション'!E25</f>
        <v>0</v>
      </c>
      <c r="G19" s="14" t="s">
        <v>7</v>
      </c>
      <c r="H19" s="15">
        <f>'試算シミュレーション'!E27</f>
        <v>0</v>
      </c>
      <c r="I19" s="14" t="s">
        <v>7</v>
      </c>
      <c r="J19" s="15">
        <f>'試算シミュレーション'!F36</f>
        <v>0</v>
      </c>
    </row>
    <row r="20" spans="1:10" ht="13.5">
      <c r="A20" s="7">
        <v>0</v>
      </c>
      <c r="B20" s="8">
        <v>0</v>
      </c>
      <c r="C20" s="7">
        <v>0</v>
      </c>
      <c r="D20" s="8">
        <v>0</v>
      </c>
      <c r="E20" s="7">
        <v>0</v>
      </c>
      <c r="F20" s="8">
        <v>0</v>
      </c>
      <c r="G20" s="7">
        <v>0</v>
      </c>
      <c r="H20" s="8">
        <v>0</v>
      </c>
      <c r="I20" s="7">
        <v>0</v>
      </c>
      <c r="J20" s="8">
        <v>0</v>
      </c>
    </row>
    <row r="21" spans="1:10" ht="13.5">
      <c r="A21" s="7">
        <v>600001</v>
      </c>
      <c r="B21" s="8">
        <f>B19-600000</f>
        <v>-600000</v>
      </c>
      <c r="C21" s="7">
        <v>600001</v>
      </c>
      <c r="D21" s="8">
        <f>D19-600000</f>
        <v>-600000</v>
      </c>
      <c r="E21" s="7">
        <v>600001</v>
      </c>
      <c r="F21" s="8">
        <f>F19-600000</f>
        <v>-600000</v>
      </c>
      <c r="G21" s="7">
        <v>600001</v>
      </c>
      <c r="H21" s="8">
        <f>H19-600000</f>
        <v>-600000</v>
      </c>
      <c r="I21" s="7">
        <v>600001</v>
      </c>
      <c r="J21" s="8">
        <f>J19-600000</f>
        <v>-600000</v>
      </c>
    </row>
    <row r="22" spans="1:10" ht="13.5">
      <c r="A22" s="7">
        <v>1300000</v>
      </c>
      <c r="B22" s="8">
        <f>ROUNDDOWN(B19*0.75-275000,0)</f>
        <v>-275000</v>
      </c>
      <c r="C22" s="7">
        <v>1300000</v>
      </c>
      <c r="D22" s="8">
        <f>ROUNDDOWN(D19*0.75-275000,0)</f>
        <v>-275000</v>
      </c>
      <c r="E22" s="7">
        <v>1300000</v>
      </c>
      <c r="F22" s="8">
        <f>ROUNDDOWN(F19*0.75-275000,0)</f>
        <v>-275000</v>
      </c>
      <c r="G22" s="7">
        <v>1300000</v>
      </c>
      <c r="H22" s="8">
        <f>ROUNDDOWN(H19*0.75-275000,0)</f>
        <v>-275000</v>
      </c>
      <c r="I22" s="7">
        <v>1300000</v>
      </c>
      <c r="J22" s="8">
        <f>ROUNDDOWN(J19*0.75-275000,0)</f>
        <v>-275000</v>
      </c>
    </row>
    <row r="23" spans="1:10" ht="13.5">
      <c r="A23" s="7">
        <v>4100000</v>
      </c>
      <c r="B23" s="8">
        <f>ROUNDDOWN(B19*0.85-685000,0)</f>
        <v>-685000</v>
      </c>
      <c r="C23" s="7">
        <v>4100000</v>
      </c>
      <c r="D23" s="8">
        <f>ROUNDDOWN(D19*0.85-685000,0)</f>
        <v>-685000</v>
      </c>
      <c r="E23" s="7">
        <v>4100000</v>
      </c>
      <c r="F23" s="8">
        <f>ROUNDDOWN(F19*0.85-685000,0)</f>
        <v>-685000</v>
      </c>
      <c r="G23" s="7">
        <v>4100000</v>
      </c>
      <c r="H23" s="8">
        <f>ROUNDDOWN(H19*0.85-685000,0)</f>
        <v>-685000</v>
      </c>
      <c r="I23" s="7">
        <v>4100000</v>
      </c>
      <c r="J23" s="8">
        <f>ROUNDDOWN(J19*0.85-685000,0)</f>
        <v>-685000</v>
      </c>
    </row>
    <row r="24" spans="1:10" ht="13.5">
      <c r="A24" s="7">
        <v>7700000</v>
      </c>
      <c r="B24" s="8">
        <f>ROUNDDOWN(B19*0.95-1455000,0)</f>
        <v>-1455000</v>
      </c>
      <c r="C24" s="7">
        <v>7700000</v>
      </c>
      <c r="D24" s="8">
        <f>ROUNDDOWN(D19*0.95-1455000,0)</f>
        <v>-1455000</v>
      </c>
      <c r="E24" s="7">
        <v>7700000</v>
      </c>
      <c r="F24" s="8">
        <f>ROUNDDOWN(F19*0.95-1455000,0)</f>
        <v>-1455000</v>
      </c>
      <c r="G24" s="7">
        <v>7700000</v>
      </c>
      <c r="H24" s="8">
        <f>ROUNDDOWN(H19*0.95-1455000,0)</f>
        <v>-1455000</v>
      </c>
      <c r="I24" s="7">
        <v>7700000</v>
      </c>
      <c r="J24" s="8">
        <f>ROUNDDOWN(J19*0.95-1455000,0)</f>
        <v>-1455000</v>
      </c>
    </row>
    <row r="25" spans="1:10" ht="13.5">
      <c r="A25" s="7">
        <v>10000000</v>
      </c>
      <c r="B25" s="8">
        <f>ROUNDDOWN(B19-1955000,0)</f>
        <v>-1955000</v>
      </c>
      <c r="C25" s="7">
        <v>10000000</v>
      </c>
      <c r="D25" s="8">
        <f>ROUNDDOWN(D19-1955000,0)</f>
        <v>-1955000</v>
      </c>
      <c r="E25" s="7">
        <v>10000000</v>
      </c>
      <c r="F25" s="8">
        <f>ROUNDDOWN(F19-1955000,0)</f>
        <v>-1955000</v>
      </c>
      <c r="G25" s="7">
        <v>10000000</v>
      </c>
      <c r="H25" s="8">
        <f>ROUNDDOWN(H19-1955000,0)</f>
        <v>-1955000</v>
      </c>
      <c r="I25" s="7">
        <v>10000000</v>
      </c>
      <c r="J25" s="8">
        <f>ROUNDDOWN(J19-1955000,0)</f>
        <v>-1955000</v>
      </c>
    </row>
    <row r="26" spans="1:10" ht="13.5">
      <c r="A26" s="16" t="s">
        <v>8</v>
      </c>
      <c r="B26" s="2"/>
      <c r="C26" s="16" t="s">
        <v>8</v>
      </c>
      <c r="D26" s="2"/>
      <c r="E26" s="16" t="s">
        <v>8</v>
      </c>
      <c r="F26" s="2"/>
      <c r="G26" s="16" t="s">
        <v>8</v>
      </c>
      <c r="H26" s="2"/>
      <c r="I26" s="16" t="s">
        <v>8</v>
      </c>
      <c r="J26" s="2"/>
    </row>
    <row r="27" spans="1:10" ht="13.5">
      <c r="A27" s="17" t="s">
        <v>7</v>
      </c>
      <c r="B27" s="18">
        <f>'試算シミュレーション'!F21</f>
        <v>0</v>
      </c>
      <c r="C27" s="17" t="s">
        <v>7</v>
      </c>
      <c r="D27" s="18">
        <f>'試算シミュレーション'!F23</f>
        <v>0</v>
      </c>
      <c r="E27" s="17" t="s">
        <v>7</v>
      </c>
      <c r="F27" s="18">
        <f>'試算シミュレーション'!F25</f>
        <v>0</v>
      </c>
      <c r="G27" s="17" t="s">
        <v>7</v>
      </c>
      <c r="H27" s="18">
        <f>'試算シミュレーション'!F27</f>
        <v>0</v>
      </c>
      <c r="I27" s="17" t="s">
        <v>7</v>
      </c>
      <c r="J27" s="18">
        <f>'試算シミュレーション'!H36</f>
        <v>0</v>
      </c>
    </row>
    <row r="28" spans="1:10" ht="13.5">
      <c r="A28" s="19">
        <v>0</v>
      </c>
      <c r="B28" s="20">
        <v>0</v>
      </c>
      <c r="C28" s="19">
        <v>0</v>
      </c>
      <c r="D28" s="20">
        <v>0</v>
      </c>
      <c r="E28" s="19">
        <v>0</v>
      </c>
      <c r="F28" s="20">
        <v>0</v>
      </c>
      <c r="G28" s="19">
        <v>0</v>
      </c>
      <c r="H28" s="20">
        <v>0</v>
      </c>
      <c r="I28" s="19">
        <v>0</v>
      </c>
      <c r="J28" s="20">
        <v>0</v>
      </c>
    </row>
    <row r="29" spans="1:10" ht="13.5">
      <c r="A29" s="19">
        <v>1100000</v>
      </c>
      <c r="B29" s="20">
        <f>B27-1100000</f>
        <v>-1100000</v>
      </c>
      <c r="C29" s="19">
        <v>1100000</v>
      </c>
      <c r="D29" s="20">
        <f>D27-1100000</f>
        <v>-1100000</v>
      </c>
      <c r="E29" s="19">
        <v>1100000</v>
      </c>
      <c r="F29" s="20">
        <f>F27-1100000</f>
        <v>-1100000</v>
      </c>
      <c r="G29" s="19">
        <v>1100000</v>
      </c>
      <c r="H29" s="20">
        <f>H27-1100000</f>
        <v>-1100000</v>
      </c>
      <c r="I29" s="19">
        <v>1100000</v>
      </c>
      <c r="J29" s="20">
        <f>J27-1100000</f>
        <v>-1100000</v>
      </c>
    </row>
    <row r="30" spans="1:10" ht="13.5">
      <c r="A30" s="19">
        <v>3300000</v>
      </c>
      <c r="B30" s="20">
        <f>ROUNDDOWN(B27*0.75-275000,0)</f>
        <v>-275000</v>
      </c>
      <c r="C30" s="19">
        <v>3300000</v>
      </c>
      <c r="D30" s="20">
        <f>ROUNDDOWN(D27*0.75-275000,0)</f>
        <v>-275000</v>
      </c>
      <c r="E30" s="19">
        <v>3300000</v>
      </c>
      <c r="F30" s="20">
        <f>ROUNDDOWN(F27*0.75-275000,0)</f>
        <v>-275000</v>
      </c>
      <c r="G30" s="19">
        <v>3300000</v>
      </c>
      <c r="H30" s="20">
        <f>ROUNDDOWN(H27*0.75-275000,0)</f>
        <v>-275000</v>
      </c>
      <c r="I30" s="19">
        <v>3300000</v>
      </c>
      <c r="J30" s="20">
        <f>ROUNDDOWN(J27*0.75-275000,0)</f>
        <v>-275000</v>
      </c>
    </row>
    <row r="31" spans="1:10" ht="13.5">
      <c r="A31" s="19">
        <v>4100000</v>
      </c>
      <c r="B31" s="20">
        <f>ROUNDDOWN(B27*0.85-685000,0)</f>
        <v>-685000</v>
      </c>
      <c r="C31" s="19">
        <v>4100000</v>
      </c>
      <c r="D31" s="20">
        <f>ROUNDDOWN(D27*0.85-685000,0)</f>
        <v>-685000</v>
      </c>
      <c r="E31" s="19">
        <v>4100000</v>
      </c>
      <c r="F31" s="20">
        <f>ROUNDDOWN(F27*0.85-685000,0)</f>
        <v>-685000</v>
      </c>
      <c r="G31" s="19">
        <v>4100000</v>
      </c>
      <c r="H31" s="20">
        <f>ROUNDDOWN(H27*0.85-685000,0)</f>
        <v>-685000</v>
      </c>
      <c r="I31" s="19">
        <v>4100000</v>
      </c>
      <c r="J31" s="20">
        <f>ROUNDDOWN(J27*0.85-685000,0)</f>
        <v>-685000</v>
      </c>
    </row>
    <row r="32" spans="1:10" ht="13.5">
      <c r="A32" s="19">
        <v>7700000</v>
      </c>
      <c r="B32" s="20">
        <f>ROUNDDOWN(B27*0.95-1455000,0)</f>
        <v>-1455000</v>
      </c>
      <c r="C32" s="19">
        <v>7700000</v>
      </c>
      <c r="D32" s="20">
        <f>ROUNDDOWN(D27*0.95-1455000,0)</f>
        <v>-1455000</v>
      </c>
      <c r="E32" s="19">
        <v>7700000</v>
      </c>
      <c r="F32" s="20">
        <f>ROUNDDOWN(F27*0.95-1455000,0)</f>
        <v>-1455000</v>
      </c>
      <c r="G32" s="19">
        <v>7700000</v>
      </c>
      <c r="H32" s="20">
        <f>ROUNDDOWN(H27*0.95-1455000,0)</f>
        <v>-1455000</v>
      </c>
      <c r="I32" s="19">
        <v>7700000</v>
      </c>
      <c r="J32" s="20">
        <f>ROUNDDOWN(J27*0.95-1455000,0)</f>
        <v>-1455000</v>
      </c>
    </row>
    <row r="33" spans="1:10" ht="13.5">
      <c r="A33" s="19">
        <v>10000000</v>
      </c>
      <c r="B33" s="20">
        <f>ROUNDDOWN(B27-1955000,0)</f>
        <v>-1955000</v>
      </c>
      <c r="C33" s="19">
        <v>10000000</v>
      </c>
      <c r="D33" s="20">
        <f>ROUNDDOWN(D27-1955000,0)</f>
        <v>-1955000</v>
      </c>
      <c r="E33" s="19">
        <v>10000000</v>
      </c>
      <c r="F33" s="20">
        <f>ROUNDDOWN(F27-1955000,0)</f>
        <v>-1955000</v>
      </c>
      <c r="G33" s="19">
        <v>10000000</v>
      </c>
      <c r="H33" s="20">
        <f>ROUNDDOWN(H27-1955000,0)</f>
        <v>-1955000</v>
      </c>
      <c r="I33" s="19">
        <v>10000000</v>
      </c>
      <c r="J33" s="20">
        <f>ROUNDDOWN(J27-1955000,0)</f>
        <v>-1955000</v>
      </c>
    </row>
    <row r="36" spans="2:17" ht="40.5">
      <c r="B36" s="250" t="s">
        <v>1</v>
      </c>
      <c r="C36" s="251"/>
      <c r="D36" s="251"/>
      <c r="E36" s="252"/>
      <c r="F36" s="250" t="s">
        <v>21</v>
      </c>
      <c r="G36" s="251"/>
      <c r="H36" s="251"/>
      <c r="I36" s="252"/>
      <c r="J36" s="250" t="s">
        <v>2</v>
      </c>
      <c r="K36" s="251"/>
      <c r="L36" s="251"/>
      <c r="M36" s="252"/>
      <c r="N36" s="21" t="s">
        <v>22</v>
      </c>
      <c r="O36" s="22"/>
      <c r="P36" s="21" t="s">
        <v>28</v>
      </c>
      <c r="Q36" s="21" t="s">
        <v>29</v>
      </c>
    </row>
    <row r="37" spans="1:19" ht="13.5">
      <c r="A37" s="3" t="s">
        <v>11</v>
      </c>
      <c r="B37" s="3" t="s">
        <v>17</v>
      </c>
      <c r="C37" s="3" t="s">
        <v>12</v>
      </c>
      <c r="D37" s="3" t="s">
        <v>13</v>
      </c>
      <c r="E37" s="23" t="s">
        <v>18</v>
      </c>
      <c r="F37" s="3" t="s">
        <v>17</v>
      </c>
      <c r="G37" s="3" t="s">
        <v>12</v>
      </c>
      <c r="H37" s="3" t="s">
        <v>107</v>
      </c>
      <c r="I37" s="23" t="s">
        <v>18</v>
      </c>
      <c r="J37" s="3" t="s">
        <v>17</v>
      </c>
      <c r="K37" s="3" t="s">
        <v>16</v>
      </c>
      <c r="L37" s="3" t="s">
        <v>107</v>
      </c>
      <c r="M37" s="3" t="s">
        <v>18</v>
      </c>
      <c r="N37" s="3" t="s">
        <v>18</v>
      </c>
      <c r="O37" s="3" t="s">
        <v>20</v>
      </c>
      <c r="R37" s="44"/>
      <c r="S37" s="44"/>
    </row>
    <row r="38" spans="1:19" s="44" customFormat="1" ht="13.5">
      <c r="A38" s="44">
        <v>4</v>
      </c>
      <c r="B38" s="102">
        <v>0.0728</v>
      </c>
      <c r="C38" s="45">
        <v>20760</v>
      </c>
      <c r="D38" s="45">
        <v>15120</v>
      </c>
      <c r="E38" s="45">
        <v>650000</v>
      </c>
      <c r="F38" s="102">
        <v>0.0255</v>
      </c>
      <c r="G38" s="45">
        <v>7280</v>
      </c>
      <c r="H38" s="45">
        <v>5300</v>
      </c>
      <c r="I38" s="45">
        <v>200000</v>
      </c>
      <c r="J38" s="102">
        <v>0.0228</v>
      </c>
      <c r="K38" s="45">
        <v>8440</v>
      </c>
      <c r="L38" s="45">
        <v>4550</v>
      </c>
      <c r="M38" s="45">
        <v>170000</v>
      </c>
      <c r="N38" s="46">
        <f>E38+I38+M38</f>
        <v>1020000</v>
      </c>
      <c r="O38" s="45">
        <v>430000</v>
      </c>
      <c r="P38" s="44" t="s">
        <v>83</v>
      </c>
      <c r="Q38" s="44" t="s">
        <v>84</v>
      </c>
      <c r="R38" s="3"/>
      <c r="S38" s="3"/>
    </row>
    <row r="39" spans="1:19" ht="13.5">
      <c r="A39" s="27">
        <v>5</v>
      </c>
      <c r="B39" s="103">
        <v>0.0721</v>
      </c>
      <c r="C39" s="2">
        <v>23540</v>
      </c>
      <c r="D39" s="2">
        <v>15890</v>
      </c>
      <c r="E39" s="2">
        <v>650000</v>
      </c>
      <c r="F39" s="103">
        <v>0.0257</v>
      </c>
      <c r="G39" s="2">
        <v>8410</v>
      </c>
      <c r="H39" s="2">
        <v>5680</v>
      </c>
      <c r="I39" s="2">
        <v>220000</v>
      </c>
      <c r="J39" s="103">
        <v>0.0216</v>
      </c>
      <c r="K39" s="2">
        <v>9200</v>
      </c>
      <c r="L39" s="2">
        <v>4620</v>
      </c>
      <c r="M39" s="2">
        <v>170000</v>
      </c>
      <c r="N39" s="43">
        <f>E39+I39+M39</f>
        <v>1040000</v>
      </c>
      <c r="O39" s="2">
        <v>430000</v>
      </c>
      <c r="P39" s="27" t="s">
        <v>98</v>
      </c>
      <c r="Q39" s="27" t="s">
        <v>99</v>
      </c>
      <c r="R39" s="24"/>
      <c r="S39" s="24"/>
    </row>
    <row r="40" spans="1:19" s="24" customFormat="1" ht="13.5">
      <c r="A40" s="24">
        <v>6</v>
      </c>
      <c r="B40" s="104">
        <v>0.0721</v>
      </c>
      <c r="C40" s="25">
        <v>23540</v>
      </c>
      <c r="D40" s="25">
        <v>15890</v>
      </c>
      <c r="E40" s="25">
        <v>650000</v>
      </c>
      <c r="F40" s="104">
        <v>0.0257</v>
      </c>
      <c r="G40" s="25">
        <v>8410</v>
      </c>
      <c r="H40" s="25">
        <v>5680</v>
      </c>
      <c r="I40" s="25">
        <v>220000</v>
      </c>
      <c r="J40" s="104">
        <v>0.0216</v>
      </c>
      <c r="K40" s="25">
        <v>9200</v>
      </c>
      <c r="L40" s="25">
        <v>4620</v>
      </c>
      <c r="M40" s="25">
        <v>170000</v>
      </c>
      <c r="N40" s="26">
        <f>E40+I40+M40</f>
        <v>1040000</v>
      </c>
      <c r="O40" s="25">
        <v>430000</v>
      </c>
      <c r="P40" s="24" t="s">
        <v>148</v>
      </c>
      <c r="Q40" s="24" t="s">
        <v>149</v>
      </c>
      <c r="R40" s="3"/>
      <c r="S40" s="3"/>
    </row>
    <row r="41" spans="1:13" ht="13.5">
      <c r="A41" s="3" t="s">
        <v>19</v>
      </c>
      <c r="C41" s="23"/>
      <c r="D41" s="23"/>
      <c r="G41" s="23"/>
      <c r="H41" s="23"/>
      <c r="M41" s="23"/>
    </row>
    <row r="42" spans="1:15" ht="13.5">
      <c r="A42" s="28">
        <f>'試算シミュレーション'!B4</f>
        <v>5</v>
      </c>
      <c r="B42" s="29">
        <f>VLOOKUP($A$42,$A$38:$Q$40,2,FALSE)</f>
        <v>0.0721</v>
      </c>
      <c r="C42" s="30">
        <f>VLOOKUP($A$42,$A$38:$Q$40,3,FALSE)</f>
        <v>23540</v>
      </c>
      <c r="D42" s="30">
        <f>VLOOKUP($A$42,$A$38:$Q$40,4,FALSE)</f>
        <v>15890</v>
      </c>
      <c r="E42" s="30">
        <f>VLOOKUP($A$42,$A$38:$Q$40,5,FALSE)</f>
        <v>650000</v>
      </c>
      <c r="F42" s="29">
        <f>VLOOKUP($A$42,$A$38:$Q$40,6,FALSE)</f>
        <v>0.0257</v>
      </c>
      <c r="G42" s="30">
        <f>VLOOKUP($A$42,$A$38:$Q$40,7,FALSE)</f>
        <v>8410</v>
      </c>
      <c r="H42" s="30">
        <f>VLOOKUP($A$42,$A$38:$Q$40,8,FALSE)</f>
        <v>5680</v>
      </c>
      <c r="I42" s="30">
        <f>VLOOKUP($A$42,$A$38:$Q$40,9,FALSE)</f>
        <v>220000</v>
      </c>
      <c r="J42" s="29">
        <f>VLOOKUP($A$42,$A$38:$Q$40,10,FALSE)</f>
        <v>0.0216</v>
      </c>
      <c r="K42" s="30">
        <f>VLOOKUP($A$42,$A$38:$Q$40,11,FALSE)</f>
        <v>9200</v>
      </c>
      <c r="L42" s="30">
        <f>VLOOKUP($A$42,$A$38:$Q$40,12,FALSE)</f>
        <v>4620</v>
      </c>
      <c r="M42" s="30">
        <f>VLOOKUP($A$42,$A$38:$Q$40,13,FALSE)</f>
        <v>170000</v>
      </c>
      <c r="N42" s="30">
        <f>VLOOKUP($A$42,$A$38:$Q$40,14,FALSE)</f>
        <v>1040000</v>
      </c>
      <c r="O42" s="30">
        <f>VLOOKUP($A$42,$A$38:$Q$40,15,FALSE)</f>
        <v>430000</v>
      </c>
    </row>
    <row r="43" spans="2:15" s="24" customFormat="1" ht="13.5">
      <c r="B43" s="248"/>
      <c r="C43" s="249"/>
      <c r="D43" s="249"/>
      <c r="E43" s="249"/>
      <c r="F43" s="248"/>
      <c r="G43" s="249"/>
      <c r="H43" s="249"/>
      <c r="I43" s="249"/>
      <c r="J43" s="248"/>
      <c r="K43" s="249"/>
      <c r="L43" s="249"/>
      <c r="M43" s="249"/>
      <c r="N43" s="249"/>
      <c r="O43" s="249"/>
    </row>
    <row r="44" spans="1:11" ht="13.5">
      <c r="A44" s="261" t="s">
        <v>91</v>
      </c>
      <c r="B44" s="262"/>
      <c r="C44" s="253" t="s">
        <v>14</v>
      </c>
      <c r="D44" s="254"/>
      <c r="E44" s="255"/>
      <c r="F44" s="256" t="s">
        <v>23</v>
      </c>
      <c r="G44" s="257"/>
      <c r="H44" s="258"/>
      <c r="I44" s="257" t="s">
        <v>15</v>
      </c>
      <c r="J44" s="257"/>
      <c r="K44" s="258"/>
    </row>
    <row r="45" spans="3:11" ht="13.5">
      <c r="C45" s="47" t="s">
        <v>25</v>
      </c>
      <c r="D45" s="48" t="s">
        <v>26</v>
      </c>
      <c r="E45" s="49"/>
      <c r="F45" s="47" t="s">
        <v>25</v>
      </c>
      <c r="G45" s="48" t="s">
        <v>26</v>
      </c>
      <c r="H45" s="49"/>
      <c r="I45" s="55" t="s">
        <v>25</v>
      </c>
      <c r="J45" s="48" t="s">
        <v>26</v>
      </c>
      <c r="K45" s="49"/>
    </row>
    <row r="46" spans="1:11" ht="13.5">
      <c r="A46" s="51" t="s">
        <v>32</v>
      </c>
      <c r="B46" s="52" t="s">
        <v>24</v>
      </c>
      <c r="C46" s="85">
        <f>$C$42</f>
        <v>23540</v>
      </c>
      <c r="D46" s="86">
        <f>IF('所得計算R5'!$M$63&lt;=$N$59,C46*'試算シミュレーション'!G44*0.7,0)</f>
        <v>0</v>
      </c>
      <c r="E46" s="87">
        <f>IF(D46&gt;0,1,0)</f>
        <v>0</v>
      </c>
      <c r="F46" s="59">
        <f>$G$42</f>
        <v>8410</v>
      </c>
      <c r="G46" s="86">
        <f>IF('所得計算R5'!$M$63&lt;=$N$59,F46*'試算シミュレーション'!G48*0.7,0)</f>
        <v>0</v>
      </c>
      <c r="H46" s="87">
        <f>IF(G46&gt;0,1,0)</f>
        <v>0</v>
      </c>
      <c r="I46" s="56">
        <f>$K$42</f>
        <v>9200</v>
      </c>
      <c r="J46" s="86">
        <f>IF('所得計算R5'!$M$63&lt;=$N$59,I46*'試算シミュレーション'!G52*0.7,0)</f>
        <v>0</v>
      </c>
      <c r="K46" s="87">
        <f>IF(J46&gt;0,1,0)</f>
        <v>0</v>
      </c>
    </row>
    <row r="47" spans="1:11" ht="13.5">
      <c r="A47" s="53" t="s">
        <v>32</v>
      </c>
      <c r="B47" s="53" t="s">
        <v>13</v>
      </c>
      <c r="C47" s="88">
        <f>$D$42</f>
        <v>15890</v>
      </c>
      <c r="D47" s="89">
        <f>IF('所得計算R5'!$M$63&lt;=$N$59,C47*'試算シミュレーション'!J44*0.7,0)</f>
        <v>0</v>
      </c>
      <c r="E47" s="90"/>
      <c r="F47" s="91">
        <f>$H$42</f>
        <v>5680</v>
      </c>
      <c r="G47" s="89">
        <f>IF('所得計算R5'!$M$63&lt;=$N$59,F47*'試算シミュレーション'!J48*0.7,0)</f>
        <v>0</v>
      </c>
      <c r="H47" s="90"/>
      <c r="I47" s="78">
        <f>$L$42</f>
        <v>4620</v>
      </c>
      <c r="J47" s="89">
        <f>IF('所得計算R5'!$M$63&lt;=$N$59,I47*'試算シミュレーション'!J52*0.7,0)</f>
        <v>0</v>
      </c>
      <c r="K47" s="90"/>
    </row>
    <row r="48" spans="1:11" ht="13.5">
      <c r="A48" s="53" t="s">
        <v>87</v>
      </c>
      <c r="B48" s="54" t="s">
        <v>24</v>
      </c>
      <c r="C48" s="92">
        <f>$C$42</f>
        <v>23540</v>
      </c>
      <c r="D48" s="93">
        <f>IF(AND($N$59&lt;$M$63,$M$63&lt;=$N$61),C48*'試算シミュレーション'!G44*0.5,0)</f>
        <v>0</v>
      </c>
      <c r="E48" s="90">
        <f>IF(D48&gt;0,2,0)</f>
        <v>0</v>
      </c>
      <c r="F48" s="92">
        <f>$G$42</f>
        <v>8410</v>
      </c>
      <c r="G48" s="93">
        <f>IF(AND($N$59&lt;$M$63,$M$63&lt;=$N$61),F48*'試算シミュレーション'!G48*0.5,0)</f>
        <v>0</v>
      </c>
      <c r="H48" s="90">
        <f>IF(G48&gt;0,2,0)</f>
        <v>0</v>
      </c>
      <c r="I48" s="58">
        <f>$K$42</f>
        <v>9200</v>
      </c>
      <c r="J48" s="93">
        <f>IF(AND(N59&lt;$M$63,$M$63&lt;=$N$61),I48*'試算シミュレーション'!G52*0.5,0)</f>
        <v>0</v>
      </c>
      <c r="K48" s="90">
        <f>IF(J48&gt;0,2,0)</f>
        <v>0</v>
      </c>
    </row>
    <row r="49" spans="1:11" ht="13.5">
      <c r="A49" s="53" t="s">
        <v>87</v>
      </c>
      <c r="B49" s="53" t="s">
        <v>13</v>
      </c>
      <c r="C49" s="92">
        <f>$D$42</f>
        <v>15890</v>
      </c>
      <c r="D49" s="93">
        <f>IF(AND($N$59&lt;$M$63,$M$63&lt;=$N$61),C49*'試算シミュレーション'!J44*0.5,0)</f>
        <v>0</v>
      </c>
      <c r="E49" s="90"/>
      <c r="F49" s="92">
        <f>$H$42</f>
        <v>5680</v>
      </c>
      <c r="G49" s="93">
        <f>IF(AND($N$59&lt;$M$63,$M$63&lt;=$N$61),F49*'試算シミュレーション'!J48*0.5,0)</f>
        <v>0</v>
      </c>
      <c r="H49" s="90"/>
      <c r="I49" s="94">
        <f>$L$42</f>
        <v>4620</v>
      </c>
      <c r="J49" s="93">
        <f>IF(AND($N$59&lt;$M$63,$M$63&lt;=$N$61),I49*'試算シミュレーション'!J52*0.5,0)</f>
        <v>0</v>
      </c>
      <c r="K49" s="90"/>
    </row>
    <row r="50" spans="1:11" ht="13.5">
      <c r="A50" s="53" t="s">
        <v>86</v>
      </c>
      <c r="B50" s="54" t="s">
        <v>24</v>
      </c>
      <c r="C50" s="92">
        <f>$C$42</f>
        <v>23540</v>
      </c>
      <c r="D50" s="93">
        <f>IF(AND($N$61&lt;$M$63,$M$63&lt;=$N$63),C50*'試算シミュレーション'!G44*0.2,0)</f>
        <v>0</v>
      </c>
      <c r="E50" s="90">
        <f>IF(D50&gt;0,3,0)</f>
        <v>0</v>
      </c>
      <c r="F50" s="92">
        <f>$G$42</f>
        <v>8410</v>
      </c>
      <c r="G50" s="93">
        <f>IF(AND($N$61&lt;$M$63,$M$63&lt;=$N$63),F50*'試算シミュレーション'!G48*0.2,0)</f>
        <v>0</v>
      </c>
      <c r="H50" s="90">
        <f>IF(G50&gt;0,3,0)</f>
        <v>0</v>
      </c>
      <c r="I50" s="58">
        <f>$K$42</f>
        <v>9200</v>
      </c>
      <c r="J50" s="93">
        <f>IF(AND($N$61&lt;$M$63,$M$63&lt;=$N$63),I50*'試算シミュレーション'!G52*0.2,0)</f>
        <v>0</v>
      </c>
      <c r="K50" s="90">
        <f>IF(J50&gt;0,3,0)</f>
        <v>0</v>
      </c>
    </row>
    <row r="51" spans="1:11" ht="13.5">
      <c r="A51" s="60" t="s">
        <v>86</v>
      </c>
      <c r="B51" s="60" t="s">
        <v>13</v>
      </c>
      <c r="C51" s="95">
        <f>$D$42</f>
        <v>15890</v>
      </c>
      <c r="D51" s="96">
        <f>IF(AND($N$61&lt;$M$63,$M$63&lt;=$N$63),C51*'試算シミュレーション'!J44*0.2,0)</f>
        <v>0</v>
      </c>
      <c r="E51" s="97"/>
      <c r="F51" s="95">
        <f>$H$42</f>
        <v>5680</v>
      </c>
      <c r="G51" s="98">
        <f>IF(AND($N$61&lt;$M$63,$M$63&lt;=$N$63),F51*'試算シミュレーション'!J48*0.2,0)</f>
        <v>0</v>
      </c>
      <c r="H51" s="97"/>
      <c r="I51" s="63">
        <f>$L$42</f>
        <v>4620</v>
      </c>
      <c r="J51" s="96">
        <f>IF(AND($N$61&lt;$M$63,$M$63&lt;=$N$63),I51*'試算シミュレーション'!J52*0.2,0)</f>
        <v>0</v>
      </c>
      <c r="K51" s="99"/>
    </row>
    <row r="52" spans="1:11" ht="13.5">
      <c r="A52" s="259" t="s">
        <v>19</v>
      </c>
      <c r="B52" s="65" t="s">
        <v>24</v>
      </c>
      <c r="C52" s="100">
        <f>$C$42*'試算シミュレーション'!G44</f>
        <v>0</v>
      </c>
      <c r="D52" s="100">
        <f>SUM(D46+D48+D50)</f>
        <v>0</v>
      </c>
      <c r="E52" s="100">
        <f>IF(D52=0,C52,D52)</f>
        <v>0</v>
      </c>
      <c r="F52" s="100">
        <f>F46*'試算シミュレーション'!G48</f>
        <v>0</v>
      </c>
      <c r="G52" s="100">
        <f>SUM(G46+G48+G50)</f>
        <v>0</v>
      </c>
      <c r="H52" s="100">
        <f>IF(G52=0,F52,G52)</f>
        <v>0</v>
      </c>
      <c r="I52" s="100">
        <f>I46*'試算シミュレーション'!G52</f>
        <v>0</v>
      </c>
      <c r="J52" s="100">
        <f>SUM(J46+J48+J50)</f>
        <v>0</v>
      </c>
      <c r="K52" s="100">
        <f>IF(J52=0,I52,J52)</f>
        <v>0</v>
      </c>
    </row>
    <row r="53" spans="1:11" ht="13.5">
      <c r="A53" s="259"/>
      <c r="B53" s="65" t="s">
        <v>13</v>
      </c>
      <c r="C53" s="100">
        <f>D42</f>
        <v>15890</v>
      </c>
      <c r="D53" s="100">
        <f>SUM(D47+D49+D51)</f>
        <v>0</v>
      </c>
      <c r="E53" s="100">
        <f>IF(D53=0,C53,D53)</f>
        <v>15890</v>
      </c>
      <c r="F53" s="67">
        <f>G42</f>
        <v>8410</v>
      </c>
      <c r="G53" s="100">
        <f>SUM(G47+G49+G51)</f>
        <v>0</v>
      </c>
      <c r="H53" s="101">
        <f>IF(G53=0,F53,G53)</f>
        <v>8410</v>
      </c>
      <c r="I53" s="101">
        <f>L42</f>
        <v>4620</v>
      </c>
      <c r="J53" s="100">
        <f>SUM(J47+J49+J51)</f>
        <v>0</v>
      </c>
      <c r="K53" s="101">
        <f>IF(J53=0,I53,J53)</f>
        <v>4620</v>
      </c>
    </row>
    <row r="54" spans="1:11" ht="13.5">
      <c r="A54" s="259"/>
      <c r="B54" s="65" t="s">
        <v>27</v>
      </c>
      <c r="C54" s="67">
        <f>IF(E46=1,"７割軽減該当",IF(E48=2,"５割軽減該当",IF(E50=3,"２割軽減該当","")))</f>
      </c>
      <c r="D54" s="100">
        <f>SUM(E46+E48+E50)</f>
        <v>0</v>
      </c>
      <c r="E54" s="67">
        <f>IF(D54=0,"",C54)</f>
      </c>
      <c r="F54" s="67">
        <f>IF(H46=1,"７割軽減該当",IF(H48=2,"５割軽減該当",IF(H50=3,"２割軽減該当","")))</f>
      </c>
      <c r="G54" s="100">
        <f>SUM(H46+H48+H50)</f>
        <v>0</v>
      </c>
      <c r="H54" s="67">
        <f>IF(G54=0,"",F54)</f>
      </c>
      <c r="I54" s="67">
        <f>IF(K46=1,"７割軽減該当",IF(K48=2,"５割軽減該当",IF(K50=3,"２割軽減該当","")))</f>
      </c>
      <c r="J54" s="100">
        <f>SUM(K46+K48+K50)</f>
        <v>0</v>
      </c>
      <c r="K54" s="67">
        <f>IF(J54=0,"",I54)</f>
      </c>
    </row>
    <row r="55" spans="3:9" ht="13.5">
      <c r="C55" s="24"/>
      <c r="D55" s="34"/>
      <c r="E55" s="33"/>
      <c r="F55" s="34"/>
      <c r="G55" s="34"/>
      <c r="H55" s="35"/>
      <c r="I55" s="24"/>
    </row>
    <row r="56" spans="1:14" ht="13.5">
      <c r="A56" s="260" t="s">
        <v>90</v>
      </c>
      <c r="B56" s="260"/>
      <c r="C56" s="264" t="s">
        <v>14</v>
      </c>
      <c r="D56" s="260"/>
      <c r="E56" s="260"/>
      <c r="F56" s="265" t="s">
        <v>23</v>
      </c>
      <c r="G56" s="266"/>
      <c r="H56" s="266"/>
      <c r="K56" s="267" t="s">
        <v>96</v>
      </c>
      <c r="L56" s="268"/>
      <c r="M56" s="268"/>
      <c r="N56" s="269"/>
    </row>
    <row r="57" spans="1:14" ht="13.5">
      <c r="A57" s="72" t="s">
        <v>95</v>
      </c>
      <c r="B57" s="77">
        <f>'試算シミュレーション'!E59</f>
        <v>0</v>
      </c>
      <c r="C57" s="70" t="s">
        <v>94</v>
      </c>
      <c r="D57" s="71" t="s">
        <v>26</v>
      </c>
      <c r="E57" s="70"/>
      <c r="F57" s="76" t="s">
        <v>94</v>
      </c>
      <c r="G57" s="71" t="s">
        <v>26</v>
      </c>
      <c r="H57" s="70"/>
      <c r="K57" s="263" t="s">
        <v>145</v>
      </c>
      <c r="L57" s="263" t="s">
        <v>144</v>
      </c>
      <c r="M57" s="36" t="s">
        <v>27</v>
      </c>
      <c r="N57" s="36"/>
    </row>
    <row r="58" spans="1:14" ht="13.5">
      <c r="A58" s="73" t="s">
        <v>32</v>
      </c>
      <c r="B58" s="70" t="s">
        <v>92</v>
      </c>
      <c r="C58" s="81">
        <f>$C$42*0.3</f>
        <v>7062</v>
      </c>
      <c r="D58" s="31">
        <f>IF('所得計算R5'!$M$63&lt;=$N$59,C58*'試算シミュレーション'!E59*0.5,0)</f>
        <v>0</v>
      </c>
      <c r="E58" s="69">
        <f>IF(D58&gt;0,1,0)</f>
        <v>0</v>
      </c>
      <c r="F58" s="58">
        <f>$G$42*0.3</f>
        <v>2523</v>
      </c>
      <c r="G58" s="31">
        <f>IF('所得計算R5'!$M$63&lt;=$N$59,F58*'試算シミュレーション'!E59*0.5,0)</f>
        <v>0</v>
      </c>
      <c r="H58" s="69">
        <f>IF(G58&gt;0,1,0)</f>
        <v>0</v>
      </c>
      <c r="I58" s="24"/>
      <c r="K58" s="263"/>
      <c r="L58" s="263"/>
      <c r="M58" s="36" t="s">
        <v>30</v>
      </c>
      <c r="N58" s="36" t="s">
        <v>34</v>
      </c>
    </row>
    <row r="59" spans="1:15" ht="13.5">
      <c r="A59" s="74" t="s">
        <v>87</v>
      </c>
      <c r="B59" s="70" t="s">
        <v>92</v>
      </c>
      <c r="C59" s="57">
        <f>$C$42*0.5</f>
        <v>11770</v>
      </c>
      <c r="D59" s="32">
        <f>IF(AND($N$59&lt;$M$63,$M$63&lt;=$N$61),C59*'試算シミュレーション'!E59*0.5,0)</f>
        <v>0</v>
      </c>
      <c r="E59" s="50">
        <f>IF(D59&gt;0,2,0)</f>
        <v>0</v>
      </c>
      <c r="F59" s="78">
        <f>$G$42*0.5</f>
        <v>4205</v>
      </c>
      <c r="G59" s="32">
        <f>IF(AND($N$59&lt;$M$63,$M$63&lt;=$N$61),F59*'試算シミュレーション'!E59*0.5,0)</f>
        <v>0</v>
      </c>
      <c r="H59" s="50">
        <f>IF(G59&gt;0,2,0)</f>
        <v>0</v>
      </c>
      <c r="I59" s="24"/>
      <c r="K59" s="37">
        <f>IF('試算シミュレーション'!F22&gt;=150000,'試算シミュレーション'!F22-150000,0)</f>
        <v>0</v>
      </c>
      <c r="L59" s="37">
        <f>IF(OR('試算シミュレーション'!D22+'試算シミュレーション'!E22&gt;100000,'試算シミュレーション'!D22+K59&gt;100000),IF(AND('試算シミュレーション'!D22&gt;=1,OR('試算シミュレーション'!E22&gt;=1,K59&gt;=1)),('試算シミュレーション'!O21+IF(OR('試算シミュレーション'!E22&gt;=100000,K59&gt;=100000),100000,'試算シミュレーション'!E22+K59))-100000,0),0)</f>
        <v>0</v>
      </c>
      <c r="M59" s="38">
        <f>IF('試算シミュレーション'!D22+'試算シミュレーション'!E22+K59+'試算シミュレーション'!G21-L59&lt;0,0,'試算シミュレーション'!D22+'試算シミュレーション'!E22+K59+'試算シミュレーション'!G21-L59)+IF('試算シミュレーション'!H21&lt;0,0,'試算シミュレーション'!H21)</f>
        <v>0</v>
      </c>
      <c r="N59" s="39">
        <f>IF('試算シミュレーション'!E55+'試算シミュレーション'!E56+'試算シミュレーション'!E57&gt;=1,430000+(('試算シミュレーション'!E55+'試算シミュレーション'!E56+'試算シミュレーション'!E57)-1)*100000,430000)</f>
        <v>430000</v>
      </c>
      <c r="O59" s="23">
        <v>0</v>
      </c>
    </row>
    <row r="60" spans="1:15" ht="13.5">
      <c r="A60" s="74" t="s">
        <v>86</v>
      </c>
      <c r="B60" s="70" t="s">
        <v>92</v>
      </c>
      <c r="C60" s="57">
        <f>$C$42*0.8</f>
        <v>18832</v>
      </c>
      <c r="D60" s="32">
        <f>IF(AND($N$61&lt;$M$63,$M$63&lt;=$N$63),C60*'試算シミュレーション'!E59*0.5,0)</f>
        <v>0</v>
      </c>
      <c r="E60" s="50">
        <f>IF(D60&gt;0,3,0)</f>
        <v>0</v>
      </c>
      <c r="F60" s="78">
        <f>$G$42*0.8</f>
        <v>6728</v>
      </c>
      <c r="G60" s="32">
        <f>IF(AND($N$61&lt;$M$63,$M$63&lt;=$N$63),F60*'試算シミュレーション'!E59*0.5,0)</f>
        <v>0</v>
      </c>
      <c r="H60" s="50">
        <f>IF(G60&gt;0,3,0)</f>
        <v>0</v>
      </c>
      <c r="I60" s="24"/>
      <c r="K60" s="37">
        <f>IF('試算シミュレーション'!F24&gt;=150000,'試算シミュレーション'!F24-150000,0)</f>
        <v>0</v>
      </c>
      <c r="L60" s="37">
        <f>IF(OR('試算シミュレーション'!D24+'試算シミュレーション'!E24&gt;100000,'試算シミュレーション'!D24+K60&gt;100000),IF(AND('試算シミュレーション'!D24&gt;=1,OR('試算シミュレーション'!E24&gt;=1,K60&gt;=1)),('試算シミュレーション'!O23+IF(OR('試算シミュレーション'!E24&gt;=100000,K60&gt;=100000),100000,'試算シミュレーション'!E24+K60))-100000,0),0)</f>
        <v>0</v>
      </c>
      <c r="M60" s="38">
        <f>IF('試算シミュレーション'!D24+'試算シミュレーション'!E24+K60+'試算シミュレーション'!G23-L60&lt;0,0,'試算シミュレーション'!D24+'試算シミュレーション'!E24+K60+'試算シミュレーション'!G23-L60)+IF('試算シミュレーション'!H23&lt;0,0,'試算シミュレーション'!H23)</f>
        <v>0</v>
      </c>
      <c r="N60" s="36" t="s">
        <v>33</v>
      </c>
      <c r="O60" s="23"/>
    </row>
    <row r="61" spans="1:15" ht="13.5">
      <c r="A61" s="75" t="s">
        <v>93</v>
      </c>
      <c r="B61" s="70" t="s">
        <v>92</v>
      </c>
      <c r="C61" s="61">
        <f>$C$42</f>
        <v>23540</v>
      </c>
      <c r="D61" s="62">
        <f>IF('所得計算R5'!$M$63&gt;$N$63,C61*'試算シミュレーション'!E59*0.5,0)</f>
        <v>0</v>
      </c>
      <c r="E61" s="82"/>
      <c r="F61" s="79">
        <f>$G$42</f>
        <v>8410</v>
      </c>
      <c r="G61" s="62">
        <f>IF('所得計算R5'!$M$63&gt;$N$63,F61*'試算シミュレーション'!E59*0.5,0)</f>
        <v>0</v>
      </c>
      <c r="H61" s="64"/>
      <c r="I61" s="24"/>
      <c r="K61" s="37">
        <f>IF('試算シミュレーション'!F26&gt;=150000,'試算シミュレーション'!F26-150000,0)</f>
        <v>0</v>
      </c>
      <c r="L61" s="37">
        <f>IF(OR('試算シミュレーション'!D26+'試算シミュレーション'!E26&gt;100000,'試算シミュレーション'!D26+K61&gt;100000),IF(AND('試算シミュレーション'!D26&gt;=1,OR('試算シミュレーション'!E26&gt;=1,K61&gt;=1)),('試算シミュレーション'!O25+IF(OR('試算シミュレーション'!E26&gt;=100000,K61&gt;=100000),100000,'試算シミュレーション'!E26+K61))-100000,0),0)</f>
        <v>0</v>
      </c>
      <c r="M61" s="38">
        <f>IF('試算シミュレーション'!D26+'試算シミュレーション'!E26+K61+'試算シミュレーション'!G25-L61&lt;0,0,'試算シミュレーション'!D26+'試算シミュレーション'!E26+K61+'試算シミュレーション'!G25-L61)+IF('試算シミュレーション'!H25&lt;0,0,'試算シミュレーション'!H25)</f>
        <v>0</v>
      </c>
      <c r="N61" s="39">
        <f>IF(('試算シミュレーション'!E55+'試算シミュレーション'!E56+'試算シミュレーション'!E57)&gt;=1,430000+(('試算シミュレーション'!E55+'試算シミュレーション'!E56+'試算シミュレーション'!E57)-1)*100000+O61*(COUNT('試算シミュレーション'!C21:C28)),430000+285000*(COUNT('試算シミュレーション'!C21:C28)))</f>
        <v>430000</v>
      </c>
      <c r="O61" s="23">
        <v>290000</v>
      </c>
    </row>
    <row r="62" spans="1:15" ht="13.5">
      <c r="A62" s="259" t="s">
        <v>97</v>
      </c>
      <c r="B62" s="65" t="s">
        <v>24</v>
      </c>
      <c r="C62" s="66"/>
      <c r="D62" s="66">
        <f>SUM(D58+D59+D60+D61)</f>
        <v>0</v>
      </c>
      <c r="E62" s="66"/>
      <c r="F62" s="83"/>
      <c r="G62" s="66">
        <f>SUM(G58+G59+G60+G61)</f>
        <v>0</v>
      </c>
      <c r="H62" s="66"/>
      <c r="I62" s="24"/>
      <c r="K62" s="37">
        <f>IF('試算シミュレーション'!F28&gt;=150000,'試算シミュレーション'!F28-150000,0)</f>
        <v>0</v>
      </c>
      <c r="L62" s="37">
        <f>IF(OR('試算シミュレーション'!D28+'試算シミュレーション'!E28&gt;100000,'試算シミュレーション'!D28+K62&gt;100000),IF(AND('試算シミュレーション'!D28&gt;=1,OR('試算シミュレーション'!E28&gt;=1,K62&gt;=1)),('試算シミュレーション'!O27+IF(OR('試算シミュレーション'!E28&gt;=100000,K62&gt;=100000),100000,'試算シミュレーション'!E28+K62))-100000,0),0)</f>
        <v>0</v>
      </c>
      <c r="M62" s="38">
        <f>IF('試算シミュレーション'!D28+'試算シミュレーション'!E28+K62+'試算シミュレーション'!G27-L62&lt;0,0,'試算シミュレーション'!D28+'試算シミュレーション'!E28+K62+'試算シミュレーション'!G27-L62)+IF('試算シミュレーション'!H27&lt;0,0,'試算シミュレーション'!H27)</f>
        <v>0</v>
      </c>
      <c r="N62" s="36" t="s">
        <v>31</v>
      </c>
      <c r="O62" s="23"/>
    </row>
    <row r="63" spans="1:15" ht="13.5">
      <c r="A63" s="259"/>
      <c r="B63" s="65" t="s">
        <v>27</v>
      </c>
      <c r="C63" s="67">
        <f>IF(E58=1,"７割軽減該当",IF(E59=2,"５割軽減該当",IF(E60=3,"２割軽減該当","")))</f>
      </c>
      <c r="D63" s="66">
        <f>SUM(E58+E59+E60)</f>
        <v>0</v>
      </c>
      <c r="E63" s="68">
        <f>IF(D63=0,"",C63)</f>
      </c>
      <c r="F63" s="80">
        <f>IF(H58=1,"７割軽減該当",IF(H59=2,"５割軽減該当",IF(H60=3,"２割軽減該当","")))</f>
      </c>
      <c r="G63" s="66">
        <f>SUM(H58+H59+H60)</f>
        <v>0</v>
      </c>
      <c r="H63" s="68">
        <f>IF(G63=0,"",F63)</f>
      </c>
      <c r="I63" s="24"/>
      <c r="K63" s="37">
        <f>IF('試算シミュレーション'!I36&gt;=150000,'試算シミュレーション'!I36-150000,0)</f>
        <v>0</v>
      </c>
      <c r="L63" s="37">
        <f>IF(OR('試算シミュレーション'!E36+'試算シミュレーション'!G36&gt;100000,'試算シミュレーション'!E36+K63&gt;100000),IF(AND('試算シミュレーション'!E36&gt;=1,OR('試算シミュレーション'!G36&gt;=1,K63&gt;=1)),('試算シミュレーション'!O35+IF(OR('試算シミュレーション'!G36&gt;=100000,K63&gt;=100000),100000,'試算シミュレーション'!G36+K63))-100000,0),0)</f>
        <v>0</v>
      </c>
      <c r="M63" s="38">
        <f>M59+M60+M61+M62+IF('試算シミュレーション'!E36+'試算シミュレーション'!G36+'試算シミュレーション'!J36-L63+K63&lt;0,0,'試算シミュレーション'!E36+'試算シミュレーション'!G36+'試算シミュレーション'!J36-L63+K63)+IF('試算シミュレーション'!K36&lt;0,0,'試算シミュレーション'!K36)</f>
        <v>0</v>
      </c>
      <c r="N63" s="39">
        <f>IF(('試算シミュレーション'!E55+'試算シミュレーション'!E56+'試算シミュレーション'!E57)&gt;=1,430000+(('試算シミュレーション'!E55+'試算シミュレーション'!E56+'試算シミュレーション'!E57)-1)*100000+O63*(COUNT('試算シミュレーション'!C21:C28)),430000+520000*(COUNT('試算シミュレーション'!C21:C28)))</f>
        <v>430000</v>
      </c>
      <c r="O63" s="23">
        <v>535000</v>
      </c>
    </row>
    <row r="64" spans="2:9" ht="13.5">
      <c r="B64" s="40"/>
      <c r="C64" s="41"/>
      <c r="D64" s="42"/>
      <c r="E64" s="41"/>
      <c r="F64" s="34"/>
      <c r="G64" s="34"/>
      <c r="H64" s="25"/>
      <c r="I64" s="24"/>
    </row>
    <row r="65" spans="2:9" ht="13.5">
      <c r="B65" s="36"/>
      <c r="C65" s="36"/>
      <c r="D65" s="36"/>
      <c r="E65" s="36"/>
      <c r="F65" s="34"/>
      <c r="G65" s="34"/>
      <c r="H65" s="25"/>
      <c r="I65" s="24"/>
    </row>
    <row r="66" spans="2:9" ht="13.5">
      <c r="B66" s="36"/>
      <c r="C66" s="36"/>
      <c r="D66" s="36"/>
      <c r="E66" s="36"/>
      <c r="F66" s="34"/>
      <c r="G66" s="34"/>
      <c r="H66" s="25"/>
      <c r="I66" s="24"/>
    </row>
    <row r="67" spans="4:9" ht="13.5">
      <c r="D67" s="36"/>
      <c r="E67" s="36"/>
      <c r="F67" s="34"/>
      <c r="G67" s="34"/>
      <c r="H67" s="25"/>
      <c r="I67" s="24"/>
    </row>
    <row r="68" spans="2:9" ht="13.5">
      <c r="B68" s="36"/>
      <c r="C68" s="36"/>
      <c r="D68" s="36"/>
      <c r="E68" s="36"/>
      <c r="F68" s="34"/>
      <c r="G68" s="34"/>
      <c r="H68" s="25"/>
      <c r="I68" s="24"/>
    </row>
    <row r="69" spans="2:9" ht="13.5">
      <c r="B69" s="36"/>
      <c r="C69" s="36"/>
      <c r="D69" s="36"/>
      <c r="E69" s="36"/>
      <c r="F69" s="24"/>
      <c r="G69" s="24"/>
      <c r="H69" s="24"/>
      <c r="I69" s="24"/>
    </row>
    <row r="70" spans="4:5" ht="13.5">
      <c r="D70" s="36"/>
      <c r="E70" s="36"/>
    </row>
    <row r="71" spans="2:5" ht="13.5">
      <c r="B71" s="36"/>
      <c r="C71" s="36"/>
      <c r="D71" s="36"/>
      <c r="E71" s="36"/>
    </row>
    <row r="72" spans="4:5" ht="13.5">
      <c r="D72" s="36"/>
      <c r="E72" s="36"/>
    </row>
  </sheetData>
  <sheetProtection selectLockedCells="1" selectUnlockedCells="1"/>
  <mergeCells count="15">
    <mergeCell ref="A62:A63"/>
    <mergeCell ref="A56:B56"/>
    <mergeCell ref="A44:B44"/>
    <mergeCell ref="K57:K58"/>
    <mergeCell ref="C56:E56"/>
    <mergeCell ref="F56:H56"/>
    <mergeCell ref="A52:A54"/>
    <mergeCell ref="K56:N56"/>
    <mergeCell ref="L57:L58"/>
    <mergeCell ref="B36:E36"/>
    <mergeCell ref="C44:E44"/>
    <mergeCell ref="F44:H44"/>
    <mergeCell ref="I44:K44"/>
    <mergeCell ref="F36:I36"/>
    <mergeCell ref="J36:M36"/>
  </mergeCells>
  <printOptions/>
  <pageMargins left="0.75" right="0.75" top="1" bottom="1" header="0.512" footer="0.512"/>
  <pageSetup fitToHeight="1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G98"/>
  <sheetViews>
    <sheetView tabSelected="1" zoomScale="70" zoomScaleNormal="70" zoomScaleSheetLayoutView="70" zoomScalePageLayoutView="0" workbookViewId="0" topLeftCell="A1">
      <selection activeCell="E23" sqref="E23"/>
    </sheetView>
  </sheetViews>
  <sheetFormatPr defaultColWidth="9.00390625" defaultRowHeight="13.5"/>
  <cols>
    <col min="1" max="2" width="7.625" style="178" customWidth="1"/>
    <col min="3" max="3" width="11.625" style="178" customWidth="1"/>
    <col min="4" max="11" width="15.625" style="178" customWidth="1"/>
    <col min="12" max="12" width="15.75390625" style="178" customWidth="1"/>
    <col min="13" max="13" width="11.75390625" style="178" customWidth="1"/>
    <col min="14" max="14" width="13.75390625" style="178" customWidth="1"/>
    <col min="15" max="15" width="8.125" style="110" customWidth="1"/>
    <col min="16" max="16" width="11.875" style="179" bestFit="1" customWidth="1"/>
    <col min="17" max="17" width="15.625" style="179" customWidth="1"/>
    <col min="18" max="18" width="9.00390625" style="179" customWidth="1"/>
    <col min="19" max="19" width="3.25390625" style="179" customWidth="1"/>
    <col min="20" max="20" width="9.00390625" style="179" customWidth="1"/>
    <col min="21" max="21" width="4.25390625" style="179" customWidth="1"/>
    <col min="22" max="22" width="9.00390625" style="179" customWidth="1"/>
    <col min="23" max="23" width="4.625" style="179" customWidth="1"/>
    <col min="24" max="32" width="9.00390625" style="179" customWidth="1"/>
    <col min="33" max="16384" width="9.00390625" style="178" customWidth="1"/>
  </cols>
  <sheetData>
    <row r="1" spans="1:32" s="109" customFormat="1" ht="9" customHeight="1" thickBot="1">
      <c r="A1" s="106"/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O1" s="110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</row>
    <row r="2" spans="1:32" s="116" customFormat="1" ht="33" customHeight="1" thickBot="1">
      <c r="A2" s="112"/>
      <c r="B2" s="325" t="s">
        <v>72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7"/>
      <c r="N2" s="113"/>
      <c r="O2" s="114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</row>
    <row r="3" spans="1:32" s="109" customFormat="1" ht="9" customHeight="1">
      <c r="A3" s="106"/>
      <c r="B3" s="11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O3" s="110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</row>
    <row r="4" spans="1:32" s="121" customFormat="1" ht="20.25">
      <c r="A4" s="118" t="s">
        <v>36</v>
      </c>
      <c r="B4" s="119">
        <v>5</v>
      </c>
      <c r="C4" s="341" t="s">
        <v>73</v>
      </c>
      <c r="D4" s="341"/>
      <c r="E4" s="341"/>
      <c r="F4" s="120"/>
      <c r="G4" s="331" t="s">
        <v>102</v>
      </c>
      <c r="H4" s="332"/>
      <c r="I4" s="332"/>
      <c r="N4" s="122"/>
      <c r="O4" s="123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</row>
    <row r="5" spans="1:32" s="122" customFormat="1" ht="9.75" customHeight="1">
      <c r="A5" s="125"/>
      <c r="B5" s="125"/>
      <c r="C5" s="125"/>
      <c r="D5" s="125"/>
      <c r="I5" s="125"/>
      <c r="J5" s="125"/>
      <c r="K5" s="125"/>
      <c r="L5" s="125"/>
      <c r="M5" s="125"/>
      <c r="O5" s="126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</row>
    <row r="6" spans="1:32" s="139" customFormat="1" ht="24" customHeight="1">
      <c r="A6" s="247">
        <v>1</v>
      </c>
      <c r="B6" s="328" t="s">
        <v>104</v>
      </c>
      <c r="C6" s="329"/>
      <c r="D6" s="329"/>
      <c r="E6" s="330"/>
      <c r="F6" s="135"/>
      <c r="G6" s="136"/>
      <c r="H6" s="129"/>
      <c r="I6" s="128"/>
      <c r="J6" s="128"/>
      <c r="K6" s="129"/>
      <c r="L6" s="128"/>
      <c r="M6" s="128"/>
      <c r="N6" s="137"/>
      <c r="O6" s="138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</row>
    <row r="7" spans="2:23" s="183" customFormat="1" ht="5.25" customHeight="1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4"/>
      <c r="Q7" s="185"/>
      <c r="R7" s="185"/>
      <c r="S7" s="185"/>
      <c r="T7" s="185"/>
      <c r="U7" s="185"/>
      <c r="V7" s="185"/>
      <c r="W7" s="186"/>
    </row>
    <row r="8" spans="2:23" s="183" customFormat="1" ht="23.25" customHeight="1">
      <c r="B8" s="400">
        <f>DATE(B4+2018,4,1)</f>
        <v>45017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184"/>
      <c r="Q8" s="185"/>
      <c r="R8" s="185"/>
      <c r="S8" s="185"/>
      <c r="T8" s="185"/>
      <c r="U8" s="185"/>
      <c r="V8" s="185"/>
      <c r="W8" s="186"/>
    </row>
    <row r="9" spans="2:23" s="183" customFormat="1" ht="23.25" customHeight="1">
      <c r="B9" s="358">
        <f>B4-1</f>
        <v>4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184"/>
      <c r="Q9" s="185"/>
      <c r="R9" s="185"/>
      <c r="S9" s="185"/>
      <c r="T9" s="185"/>
      <c r="U9" s="185"/>
      <c r="V9" s="185"/>
      <c r="W9" s="186"/>
    </row>
    <row r="10" spans="2:23" s="183" customFormat="1" ht="23.25" customHeight="1">
      <c r="B10" s="338">
        <f>B4-1</f>
        <v>4</v>
      </c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184"/>
      <c r="Q10" s="185"/>
      <c r="R10" s="185"/>
      <c r="S10" s="185"/>
      <c r="T10" s="185"/>
      <c r="U10" s="185"/>
      <c r="V10" s="185"/>
      <c r="W10" s="186"/>
    </row>
    <row r="11" spans="2:23" s="183" customFormat="1" ht="23.25" customHeight="1">
      <c r="B11" s="363">
        <f>DATE(B4+2018,1,1)</f>
        <v>44927</v>
      </c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184"/>
      <c r="Q11" s="185"/>
      <c r="R11" s="185"/>
      <c r="S11" s="185"/>
      <c r="T11" s="185"/>
      <c r="U11" s="185"/>
      <c r="V11" s="185"/>
      <c r="W11" s="186"/>
    </row>
    <row r="12" spans="2:23" s="183" customFormat="1" ht="23.25" customHeight="1">
      <c r="B12" s="381" t="s">
        <v>111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184"/>
      <c r="Q12" s="185"/>
      <c r="R12" s="185"/>
      <c r="S12" s="185"/>
      <c r="T12" s="185"/>
      <c r="U12" s="185"/>
      <c r="V12" s="185"/>
      <c r="W12" s="186"/>
    </row>
    <row r="13" spans="2:23" s="183" customFormat="1" ht="23.25" customHeight="1">
      <c r="B13" s="381" t="s">
        <v>147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184"/>
      <c r="Q13" s="185"/>
      <c r="R13" s="185"/>
      <c r="S13" s="185"/>
      <c r="T13" s="185"/>
      <c r="U13" s="185"/>
      <c r="V13" s="185"/>
      <c r="W13" s="186"/>
    </row>
    <row r="14" spans="2:23" s="183" customFormat="1" ht="23.25" customHeight="1">
      <c r="B14" s="381" t="s">
        <v>100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184"/>
      <c r="Q14" s="185"/>
      <c r="R14" s="185"/>
      <c r="S14" s="185"/>
      <c r="T14" s="185"/>
      <c r="U14" s="185"/>
      <c r="V14" s="185"/>
      <c r="W14" s="186"/>
    </row>
    <row r="15" spans="2:23" s="183" customFormat="1" ht="23.25" customHeight="1">
      <c r="B15" s="381" t="s">
        <v>146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184"/>
      <c r="Q15" s="185"/>
      <c r="R15" s="185"/>
      <c r="S15" s="185"/>
      <c r="T15" s="185"/>
      <c r="U15" s="185"/>
      <c r="V15" s="185"/>
      <c r="W15" s="186"/>
    </row>
    <row r="16" spans="2:23" s="183" customFormat="1" ht="23.25" customHeight="1">
      <c r="B16" s="381" t="s">
        <v>101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184"/>
      <c r="Q16" s="185"/>
      <c r="R16" s="185"/>
      <c r="S16" s="185"/>
      <c r="T16" s="185"/>
      <c r="U16" s="185"/>
      <c r="V16" s="185"/>
      <c r="W16" s="186"/>
    </row>
    <row r="17" spans="2:23" s="183" customFormat="1" ht="23.25" customHeight="1">
      <c r="B17" s="381" t="s">
        <v>103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184"/>
      <c r="Q17" s="185"/>
      <c r="R17" s="185"/>
      <c r="S17" s="185"/>
      <c r="T17" s="185"/>
      <c r="U17" s="185"/>
      <c r="V17" s="185"/>
      <c r="W17" s="186"/>
    </row>
    <row r="18" spans="2:23" s="183" customFormat="1" ht="5.25" customHeight="1" thickBot="1"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4"/>
      <c r="Q18" s="185"/>
      <c r="R18" s="185"/>
      <c r="S18" s="185"/>
      <c r="T18" s="185"/>
      <c r="U18" s="185"/>
      <c r="V18" s="185"/>
      <c r="W18" s="186"/>
    </row>
    <row r="19" spans="1:32" s="133" customFormat="1" ht="22.5" customHeight="1">
      <c r="A19" s="342" t="s">
        <v>47</v>
      </c>
      <c r="B19" s="343"/>
      <c r="C19" s="333" t="s">
        <v>74</v>
      </c>
      <c r="D19" s="337" t="s">
        <v>75</v>
      </c>
      <c r="E19" s="335" t="s">
        <v>76</v>
      </c>
      <c r="F19" s="335"/>
      <c r="G19" s="335" t="s">
        <v>81</v>
      </c>
      <c r="H19" s="335" t="s">
        <v>82</v>
      </c>
      <c r="I19" s="339" t="s">
        <v>112</v>
      </c>
      <c r="J19" s="335" t="s">
        <v>116</v>
      </c>
      <c r="K19" s="335" t="s">
        <v>0</v>
      </c>
      <c r="L19" s="335" t="s">
        <v>45</v>
      </c>
      <c r="M19" s="386" t="s">
        <v>46</v>
      </c>
      <c r="N19" s="323" t="s">
        <v>77</v>
      </c>
      <c r="O19" s="126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AE19" s="131"/>
      <c r="AF19" s="131"/>
    </row>
    <row r="20" spans="1:32" s="133" customFormat="1" ht="22.5" customHeight="1" thickBot="1">
      <c r="A20" s="344"/>
      <c r="B20" s="345"/>
      <c r="C20" s="334"/>
      <c r="D20" s="336"/>
      <c r="E20" s="105" t="s">
        <v>9</v>
      </c>
      <c r="F20" s="105" t="s">
        <v>10</v>
      </c>
      <c r="G20" s="336"/>
      <c r="H20" s="336"/>
      <c r="I20" s="340"/>
      <c r="J20" s="336"/>
      <c r="K20" s="336"/>
      <c r="L20" s="336"/>
      <c r="M20" s="334"/>
      <c r="N20" s="324"/>
      <c r="O20" s="126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AE20" s="131"/>
      <c r="AF20" s="131"/>
    </row>
    <row r="21" spans="1:32" s="133" customFormat="1" ht="24.75" customHeight="1">
      <c r="A21" s="359" t="s">
        <v>48</v>
      </c>
      <c r="B21" s="360"/>
      <c r="C21" s="356"/>
      <c r="D21" s="206"/>
      <c r="E21" s="206"/>
      <c r="F21" s="206"/>
      <c r="G21" s="206"/>
      <c r="H21" s="206"/>
      <c r="I21" s="207">
        <f>IF(OR(D22+E22&gt;100000,D22+F22&gt;100000),IF(AND(D22&gt;=1,OR(E22&gt;=1,F22&gt;=1)),(O21+O22)-100000,0),0)</f>
        <v>0</v>
      </c>
      <c r="J21" s="346">
        <f>IF(D22+E22+F22+G21-I21&lt;0,0,D22+E22+F22+G21-I21)+IF(H21&lt;0,0,H21)</f>
        <v>0</v>
      </c>
      <c r="K21" s="346">
        <f>IF(J21&gt;0,'所得計算R5'!$O$42,0)</f>
        <v>0</v>
      </c>
      <c r="L21" s="346">
        <f>_xlfn.IFERROR(IF(J21&lt;=0,0,IF(J21-K21&lt;=0,0,J21-K21)),"")</f>
        <v>0</v>
      </c>
      <c r="M21" s="348">
        <f>IF(AND(C21&lt;65,C21&gt;=39,1),1,"")</f>
      </c>
      <c r="N21" s="364"/>
      <c r="O21" s="141">
        <f>IF(D22&gt;=100000,100000,D22)</f>
        <v>0</v>
      </c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AE21" s="131"/>
      <c r="AF21" s="131"/>
    </row>
    <row r="22" spans="1:25" s="133" customFormat="1" ht="24.75" customHeight="1">
      <c r="A22" s="361"/>
      <c r="B22" s="362"/>
      <c r="C22" s="357"/>
      <c r="D22" s="191">
        <f>IF(N21="有",ROUNDDOWN(LOOKUP(D21,'所得計算R5'!A3:'所得計算R5'!A14,'所得計算R5'!B3:'所得計算R5'!B14)*30/100,0),LOOKUP(D21,'所得計算R5'!A3:'所得計算R5'!A14,'所得計算R5'!B3:'所得計算R5'!B14))</f>
        <v>0</v>
      </c>
      <c r="E22" s="191">
        <f>LOOKUP(E21,'所得計算R5'!A20:A25,'所得計算R5'!B20:B25)</f>
        <v>0</v>
      </c>
      <c r="F22" s="191">
        <f>LOOKUP(F21,'所得計算R5'!A28:A33,'所得計算R5'!B28:B33)</f>
        <v>0</v>
      </c>
      <c r="G22" s="209"/>
      <c r="H22" s="209"/>
      <c r="I22" s="208"/>
      <c r="J22" s="347"/>
      <c r="K22" s="347"/>
      <c r="L22" s="347"/>
      <c r="M22" s="349"/>
      <c r="N22" s="365"/>
      <c r="O22" s="142">
        <f>IF(OR(E22&gt;=100000,F22&gt;=100000),100000,E22+F22)</f>
        <v>0</v>
      </c>
      <c r="P22" s="131"/>
      <c r="Q22" s="131"/>
      <c r="R22" s="131"/>
      <c r="S22" s="131"/>
      <c r="T22" s="131"/>
      <c r="U22" s="131"/>
      <c r="V22" s="131"/>
      <c r="W22" s="131"/>
      <c r="X22" s="131"/>
      <c r="Y22" s="131"/>
    </row>
    <row r="23" spans="1:32" s="133" customFormat="1" ht="24.75" customHeight="1">
      <c r="A23" s="361" t="s">
        <v>49</v>
      </c>
      <c r="B23" s="362"/>
      <c r="C23" s="357"/>
      <c r="D23" s="192"/>
      <c r="E23" s="192"/>
      <c r="F23" s="192"/>
      <c r="G23" s="192"/>
      <c r="H23" s="192"/>
      <c r="I23" s="191">
        <f>IF(OR(D24+E24&gt;100000,D24+F24&gt;100000),IF(AND(D24&gt;=1,OR(E24&gt;=1,F24&gt;=1)),(O23+O24)-100000,0),0)</f>
        <v>0</v>
      </c>
      <c r="J23" s="347">
        <f>IF(D24+E24+F24+G23-I23&lt;0,0,D24+E24+F24+G23-I23)+IF(H23&lt;0,0,H23)</f>
        <v>0</v>
      </c>
      <c r="K23" s="347">
        <f>IF(J23&gt;0,'所得計算R5'!$O$42,0)</f>
        <v>0</v>
      </c>
      <c r="L23" s="347">
        <f>_xlfn.IFERROR(IF(J23&lt;=0,0,IF(J23-K23&lt;=0,0,J23-K23)),"")</f>
        <v>0</v>
      </c>
      <c r="M23" s="349">
        <f>IF(AND(C23&lt;65,C23&gt;=39,1),1,"")</f>
      </c>
      <c r="N23" s="365"/>
      <c r="O23" s="141">
        <f>IF(D24&gt;=100000,100000,D24)</f>
        <v>0</v>
      </c>
      <c r="P23" s="131"/>
      <c r="R23" s="131"/>
      <c r="S23" s="131"/>
      <c r="T23" s="131"/>
      <c r="U23" s="131"/>
      <c r="V23" s="131"/>
      <c r="W23" s="131"/>
      <c r="X23" s="131"/>
      <c r="Y23" s="131"/>
      <c r="AE23" s="131"/>
      <c r="AF23" s="131"/>
    </row>
    <row r="24" spans="1:32" s="133" customFormat="1" ht="24.75" customHeight="1">
      <c r="A24" s="361"/>
      <c r="B24" s="362"/>
      <c r="C24" s="357"/>
      <c r="D24" s="191">
        <f>IF(N23="有",ROUNDDOWN(LOOKUP(D23,'所得計算R5'!C3:'所得計算R5'!C14,'所得計算R5'!D3:'所得計算R5'!D14)*30/100,0),LOOKUP(D23,'所得計算R5'!C3:C14,'所得計算R5'!D3:D14))</f>
        <v>0</v>
      </c>
      <c r="E24" s="191">
        <f>LOOKUP(E23,'所得計算R5'!C20:C25,'所得計算R5'!D20:D25)</f>
        <v>0</v>
      </c>
      <c r="F24" s="191">
        <f>LOOKUP(F23,'所得計算R5'!C28:C33,'所得計算R5'!D28:D33)</f>
        <v>0</v>
      </c>
      <c r="G24" s="193"/>
      <c r="H24" s="209"/>
      <c r="I24" s="208"/>
      <c r="J24" s="347"/>
      <c r="K24" s="347"/>
      <c r="L24" s="347"/>
      <c r="M24" s="349"/>
      <c r="N24" s="365"/>
      <c r="O24" s="142">
        <f>IF(OR(E24&gt;=100000,F24&gt;=100000),100000,E24+F24)</f>
        <v>0</v>
      </c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AE24" s="131"/>
      <c r="AF24" s="131"/>
    </row>
    <row r="25" spans="1:32" s="133" customFormat="1" ht="24.75" customHeight="1">
      <c r="A25" s="361" t="s">
        <v>50</v>
      </c>
      <c r="B25" s="362"/>
      <c r="C25" s="357"/>
      <c r="D25" s="192"/>
      <c r="E25" s="192"/>
      <c r="F25" s="192"/>
      <c r="G25" s="192"/>
      <c r="H25" s="192"/>
      <c r="I25" s="191">
        <f>IF(OR(D26+E26&gt;100000,D26+F26&gt;100000),IF(AND(D26&gt;=1,OR(E26&gt;=1,F26&gt;=1)),(O25+O26)-100000,0),0)</f>
        <v>0</v>
      </c>
      <c r="J25" s="347">
        <f>IF(D26+E26+F26+G25-I25&lt;0,0,D26+E26+F26+G25-I25)+IF(H25&lt;0,0,H25)</f>
        <v>0</v>
      </c>
      <c r="K25" s="347">
        <f>IF(J25&gt;0,'所得計算R5'!$O$42,0)</f>
        <v>0</v>
      </c>
      <c r="L25" s="347">
        <f>_xlfn.IFERROR(IF(J25&lt;=0,0,IF(J25-K25&lt;=0,0,J25-K25)),"")</f>
        <v>0</v>
      </c>
      <c r="M25" s="349">
        <f>IF(AND(C25&lt;65,C25&gt;=39,1),1,"")</f>
      </c>
      <c r="N25" s="365"/>
      <c r="O25" s="141">
        <f>IF(D26&gt;=100000,100000,D26)</f>
        <v>0</v>
      </c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AE25" s="131"/>
      <c r="AF25" s="131"/>
    </row>
    <row r="26" spans="1:32" s="133" customFormat="1" ht="24.75" customHeight="1">
      <c r="A26" s="361"/>
      <c r="B26" s="362"/>
      <c r="C26" s="357"/>
      <c r="D26" s="191">
        <f>IF(N25="有",ROUNDDOWN(LOOKUP(D25,'所得計算R5'!E3:E13,'所得計算R5'!F3:F13)*30/100,0),LOOKUP(D25,'所得計算R5'!E3:E13,'所得計算R5'!F3:F13))</f>
        <v>0</v>
      </c>
      <c r="E26" s="191">
        <f>LOOKUP(E25,'所得計算R5'!E20:E25,'所得計算R5'!F20:F25)</f>
        <v>0</v>
      </c>
      <c r="F26" s="191">
        <f>LOOKUP(F25,'所得計算R5'!E28:E33,'所得計算R5'!F28:F33)</f>
        <v>0</v>
      </c>
      <c r="G26" s="193"/>
      <c r="H26" s="209"/>
      <c r="I26" s="208"/>
      <c r="J26" s="347"/>
      <c r="K26" s="347"/>
      <c r="L26" s="347"/>
      <c r="M26" s="349"/>
      <c r="N26" s="365"/>
      <c r="O26" s="142">
        <f>IF(OR(E26&gt;=100000,F26&gt;=100000),100000,E26+F26)</f>
        <v>0</v>
      </c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AE26" s="131"/>
      <c r="AF26" s="131"/>
    </row>
    <row r="27" spans="1:32" s="133" customFormat="1" ht="24.75" customHeight="1">
      <c r="A27" s="361" t="s">
        <v>51</v>
      </c>
      <c r="B27" s="362"/>
      <c r="C27" s="357"/>
      <c r="D27" s="192"/>
      <c r="E27" s="192"/>
      <c r="F27" s="192"/>
      <c r="G27" s="192"/>
      <c r="H27" s="192"/>
      <c r="I27" s="191">
        <f>IF(OR(D28+E28&gt;100000,D28+F28&gt;100000),IF(AND(D28&gt;=1,OR(E28&gt;=1,F28&gt;=1)),(O27+O28)-100000,0),0)</f>
        <v>0</v>
      </c>
      <c r="J27" s="347">
        <f>IF(D28+E28+F28+G27-I27&lt;0,0,D28+E28+F28+G27-I27)+IF(H27&lt;0,0,H27)</f>
        <v>0</v>
      </c>
      <c r="K27" s="347">
        <f>IF(J27&gt;0,'所得計算R5'!$O$42,0)</f>
        <v>0</v>
      </c>
      <c r="L27" s="347">
        <f>_xlfn.IFERROR(IF(J27&lt;=0,0,IF(J27-K27&lt;=0,0,J27-K27)),"")</f>
        <v>0</v>
      </c>
      <c r="M27" s="349">
        <f>IF(AND(C27&lt;65,C27&gt;=39,1),1,"")</f>
      </c>
      <c r="N27" s="365"/>
      <c r="O27" s="141">
        <f>IF(D28&gt;=100000,100000,D28)</f>
        <v>0</v>
      </c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AE27" s="131"/>
      <c r="AF27" s="131"/>
    </row>
    <row r="28" spans="1:32" s="133" customFormat="1" ht="24.75" customHeight="1" thickBot="1">
      <c r="A28" s="367"/>
      <c r="B28" s="368"/>
      <c r="C28" s="388"/>
      <c r="D28" s="194">
        <f>IF(N27="有",ROUNDDOWN(LOOKUP(D27,'所得計算R5'!G3:G13,'所得計算R5'!H3:H13)*30/100,0),LOOKUP(D27,'所得計算R5'!G3:G13,'所得計算R5'!H3:H13))</f>
        <v>0</v>
      </c>
      <c r="E28" s="194">
        <f>LOOKUP(E27,'所得計算R5'!G20:G25,'所得計算R5'!H20:H25)</f>
        <v>0</v>
      </c>
      <c r="F28" s="194">
        <f>LOOKUP(F27,'所得計算R5'!G28:G33,'所得計算R5'!H28:H33)</f>
        <v>0</v>
      </c>
      <c r="G28" s="211"/>
      <c r="H28" s="211"/>
      <c r="I28" s="210"/>
      <c r="J28" s="379"/>
      <c r="K28" s="379"/>
      <c r="L28" s="379"/>
      <c r="M28" s="378"/>
      <c r="N28" s="377"/>
      <c r="O28" s="142">
        <f>IF(OR(E28&gt;=100000,F28&gt;=100000),100000,E28+F28)</f>
        <v>0</v>
      </c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AE28" s="131"/>
      <c r="AF28" s="131"/>
    </row>
    <row r="29" spans="3:32" s="132" customFormat="1" ht="9.75" customHeight="1">
      <c r="C29" s="143"/>
      <c r="K29" s="144"/>
      <c r="L29" s="145"/>
      <c r="M29" s="145"/>
      <c r="O29" s="126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</row>
    <row r="30" spans="1:32" s="149" customFormat="1" ht="24" customHeight="1">
      <c r="A30" s="247">
        <v>2</v>
      </c>
      <c r="B30" s="328" t="s">
        <v>105</v>
      </c>
      <c r="C30" s="329"/>
      <c r="D30" s="329"/>
      <c r="E30" s="330"/>
      <c r="F30" s="146"/>
      <c r="G30" s="146"/>
      <c r="H30" s="146"/>
      <c r="I30" s="146"/>
      <c r="J30" s="146"/>
      <c r="K30" s="146"/>
      <c r="L30" s="147"/>
      <c r="M30" s="147"/>
      <c r="N30" s="147"/>
      <c r="O30" s="148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</row>
    <row r="31" spans="1:31" s="189" customFormat="1" ht="5.25" customHeight="1">
      <c r="A31" s="187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</row>
    <row r="32" spans="1:31" s="189" customFormat="1" ht="24" customHeight="1">
      <c r="A32" s="187"/>
      <c r="B32" s="381" t="s">
        <v>133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190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</row>
    <row r="33" spans="1:31" s="189" customFormat="1" ht="24" customHeight="1">
      <c r="A33" s="187"/>
      <c r="B33" s="381" t="s">
        <v>134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190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</row>
    <row r="34" spans="1:31" s="189" customFormat="1" ht="5.25" customHeight="1" thickBot="1">
      <c r="A34" s="187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</row>
    <row r="35" spans="1:15" s="154" customFormat="1" ht="33" customHeight="1" thickBot="1">
      <c r="A35" s="143"/>
      <c r="B35" s="382" t="s">
        <v>78</v>
      </c>
      <c r="C35" s="383"/>
      <c r="D35" s="150" t="s">
        <v>63</v>
      </c>
      <c r="E35" s="151" t="s">
        <v>64</v>
      </c>
      <c r="F35" s="180" t="s">
        <v>80</v>
      </c>
      <c r="G35" s="151" t="s">
        <v>109</v>
      </c>
      <c r="H35" s="180" t="s">
        <v>79</v>
      </c>
      <c r="I35" s="151" t="s">
        <v>110</v>
      </c>
      <c r="J35" s="181" t="s">
        <v>140</v>
      </c>
      <c r="K35" s="181" t="s">
        <v>141</v>
      </c>
      <c r="L35" s="152" t="s">
        <v>112</v>
      </c>
      <c r="M35" s="270" t="s">
        <v>142</v>
      </c>
      <c r="N35" s="271"/>
      <c r="O35" s="153">
        <f>IF(E36&gt;=100000,100000,E36)</f>
        <v>0</v>
      </c>
    </row>
    <row r="36" spans="1:33" s="133" customFormat="1" ht="30" customHeight="1" thickBot="1">
      <c r="A36" s="132"/>
      <c r="B36" s="382"/>
      <c r="C36" s="383"/>
      <c r="D36" s="195"/>
      <c r="E36" s="196">
        <f>LOOKUP(D36,'所得計算R5'!I3:'所得計算R5'!I14,'所得計算R5'!J3:'所得計算R5'!J14)</f>
        <v>0</v>
      </c>
      <c r="F36" s="197"/>
      <c r="G36" s="196">
        <f>LOOKUP(F36,'所得計算R5'!I20:I25,'所得計算R5'!J20:J25)</f>
        <v>0</v>
      </c>
      <c r="H36" s="198"/>
      <c r="I36" s="196">
        <f>LOOKUP(H36,'所得計算R5'!I28:I33,'所得計算R5'!J28:J33)</f>
        <v>0</v>
      </c>
      <c r="J36" s="199"/>
      <c r="K36" s="199"/>
      <c r="L36" s="196">
        <f>IF(AND(E36&gt;=1,OR(G36&gt;=1,I36&gt;=1)),(O35+O36)-100000,0)</f>
        <v>0</v>
      </c>
      <c r="M36" s="272">
        <f>IF(E36+G36+I36+J36-L36&lt;0,0,E36+G36+I36+J36-L36)+IF(K36&lt;0,0,K36)</f>
        <v>0</v>
      </c>
      <c r="N36" s="273"/>
      <c r="O36" s="126">
        <f>IF(OR(G36&gt;=100000,I36&gt;=100000),100000,G36+I36)</f>
        <v>0</v>
      </c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</row>
    <row r="37" spans="1:33" s="132" customFormat="1" ht="33" customHeight="1">
      <c r="A37" s="281" t="s">
        <v>143</v>
      </c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126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</row>
    <row r="38" spans="4:32" s="132" customFormat="1" ht="12" customHeight="1">
      <c r="D38" s="155"/>
      <c r="E38" s="156"/>
      <c r="F38" s="155"/>
      <c r="G38" s="156"/>
      <c r="H38" s="155"/>
      <c r="I38" s="156"/>
      <c r="J38" s="157"/>
      <c r="L38" s="158"/>
      <c r="M38" s="159"/>
      <c r="O38" s="126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</row>
    <row r="39" spans="1:32" s="132" customFormat="1" ht="8.25" customHeight="1" thickBo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26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</row>
    <row r="40" spans="1:32" s="162" customFormat="1" ht="33" customHeight="1" thickBot="1">
      <c r="A40" s="112"/>
      <c r="B40" s="389">
        <f>B4</f>
        <v>5</v>
      </c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1"/>
      <c r="N40" s="160"/>
      <c r="O40" s="148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</row>
    <row r="41" spans="1:32" s="132" customFormat="1" ht="12" customHeight="1" thickBot="1">
      <c r="A41" s="163"/>
      <c r="B41" s="163"/>
      <c r="C41" s="163"/>
      <c r="D41" s="134"/>
      <c r="F41" s="134"/>
      <c r="G41" s="134"/>
      <c r="K41" s="134"/>
      <c r="O41" s="126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</row>
    <row r="42" spans="1:31" s="133" customFormat="1" ht="32.25" customHeight="1">
      <c r="A42" s="132"/>
      <c r="B42" s="370" t="s">
        <v>57</v>
      </c>
      <c r="C42" s="371"/>
      <c r="D42" s="376" t="s">
        <v>60</v>
      </c>
      <c r="E42" s="308"/>
      <c r="F42" s="275"/>
      <c r="G42" s="376" t="s">
        <v>61</v>
      </c>
      <c r="H42" s="308"/>
      <c r="I42" s="275"/>
      <c r="J42" s="376" t="s">
        <v>62</v>
      </c>
      <c r="K42" s="309"/>
      <c r="L42" s="392" t="s">
        <v>68</v>
      </c>
      <c r="M42" s="393"/>
      <c r="N42" s="132"/>
      <c r="O42" s="126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</row>
    <row r="43" spans="1:31" s="133" customFormat="1" ht="32.25" customHeight="1">
      <c r="A43" s="164"/>
      <c r="B43" s="372"/>
      <c r="C43" s="373"/>
      <c r="D43" s="165" t="s">
        <v>45</v>
      </c>
      <c r="E43" s="165" t="s">
        <v>52</v>
      </c>
      <c r="F43" s="165" t="s">
        <v>53</v>
      </c>
      <c r="G43" s="165" t="s">
        <v>54</v>
      </c>
      <c r="H43" s="165" t="s">
        <v>55</v>
      </c>
      <c r="I43" s="165" t="s">
        <v>56</v>
      </c>
      <c r="J43" s="165" t="s">
        <v>59</v>
      </c>
      <c r="K43" s="166" t="s">
        <v>55</v>
      </c>
      <c r="L43" s="372"/>
      <c r="M43" s="394"/>
      <c r="N43" s="167" t="s">
        <v>66</v>
      </c>
      <c r="O43" s="126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</row>
    <row r="44" spans="1:32" s="133" customFormat="1" ht="44.25" customHeight="1" thickBot="1">
      <c r="A44" s="164"/>
      <c r="B44" s="374"/>
      <c r="C44" s="375"/>
      <c r="D44" s="220">
        <f>_xlfn.IFERROR(L21+L23+L25+L27,"")</f>
        <v>0</v>
      </c>
      <c r="E44" s="200">
        <f>LOOKUP($B$4,'所得計算R5'!$A$38:$A$40,'所得計算R5'!$B$38:$B$40)</f>
        <v>0.0721</v>
      </c>
      <c r="F44" s="220">
        <f>IF(D44="",0,ROUNDDOWN(D44*E44,0))</f>
        <v>0</v>
      </c>
      <c r="G44" s="201">
        <f>COUNT(C21:C28)</f>
        <v>0</v>
      </c>
      <c r="H44" s="220">
        <f>LOOKUP($B$4,'所得計算R5'!$A$38:$A$40,'所得計算R5'!$C$38:$C$40)</f>
        <v>23540</v>
      </c>
      <c r="I44" s="220">
        <f>G44*H44</f>
        <v>0</v>
      </c>
      <c r="J44" s="202">
        <f>IF(COUNT($C$21:$C$28)&gt;0,1,0)</f>
        <v>0</v>
      </c>
      <c r="K44" s="221">
        <f>LOOKUP($B$4,'所得計算R5'!$A$38:$A$40,'所得計算R5'!$D$38:$D$40)*J44</f>
        <v>0</v>
      </c>
      <c r="L44" s="366">
        <f>IF(ROUNDDOWN(F44+I44+K44,0)&gt;N44,N44,ROUNDDOWN(F44+I44+K44,0))</f>
        <v>0</v>
      </c>
      <c r="M44" s="307"/>
      <c r="N44" s="203">
        <f>'所得計算R5'!E42</f>
        <v>650000</v>
      </c>
      <c r="O44" s="126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</row>
    <row r="45" spans="1:32" s="132" customFormat="1" ht="12" customHeight="1" thickBot="1">
      <c r="A45" s="163"/>
      <c r="B45" s="163"/>
      <c r="C45" s="163"/>
      <c r="D45" s="134"/>
      <c r="F45" s="134"/>
      <c r="G45" s="134"/>
      <c r="K45" s="134"/>
      <c r="O45" s="126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</row>
    <row r="46" spans="1:32" s="133" customFormat="1" ht="32.25" customHeight="1">
      <c r="A46" s="164"/>
      <c r="B46" s="350" t="s">
        <v>58</v>
      </c>
      <c r="C46" s="351"/>
      <c r="D46" s="369" t="s">
        <v>60</v>
      </c>
      <c r="E46" s="312"/>
      <c r="F46" s="277"/>
      <c r="G46" s="369" t="s">
        <v>61</v>
      </c>
      <c r="H46" s="312"/>
      <c r="I46" s="277"/>
      <c r="J46" s="369" t="s">
        <v>62</v>
      </c>
      <c r="K46" s="313"/>
      <c r="L46" s="350" t="s">
        <v>114</v>
      </c>
      <c r="M46" s="384"/>
      <c r="N46" s="132"/>
      <c r="O46" s="126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</row>
    <row r="47" spans="1:32" s="133" customFormat="1" ht="32.25" customHeight="1">
      <c r="A47" s="164"/>
      <c r="B47" s="352"/>
      <c r="C47" s="353"/>
      <c r="D47" s="168" t="s">
        <v>45</v>
      </c>
      <c r="E47" s="168" t="s">
        <v>52</v>
      </c>
      <c r="F47" s="168" t="s">
        <v>53</v>
      </c>
      <c r="G47" s="168" t="s">
        <v>54</v>
      </c>
      <c r="H47" s="168" t="s">
        <v>55</v>
      </c>
      <c r="I47" s="168" t="s">
        <v>56</v>
      </c>
      <c r="J47" s="168" t="s">
        <v>59</v>
      </c>
      <c r="K47" s="169" t="s">
        <v>55</v>
      </c>
      <c r="L47" s="352"/>
      <c r="M47" s="385"/>
      <c r="N47" s="170" t="s">
        <v>66</v>
      </c>
      <c r="O47" s="126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</row>
    <row r="48" spans="1:32" s="133" customFormat="1" ht="44.25" customHeight="1" thickBot="1">
      <c r="A48" s="164"/>
      <c r="B48" s="354"/>
      <c r="C48" s="355"/>
      <c r="D48" s="220">
        <f>_xlfn.IFERROR(L21+L23+L25+L27,"")</f>
        <v>0</v>
      </c>
      <c r="E48" s="200">
        <f>LOOKUP($B$4,'所得計算R5'!$A$38:$A$40,'所得計算R5'!$F$38:$F$40)</f>
        <v>0.0257</v>
      </c>
      <c r="F48" s="220">
        <f>IF(D48="",0,ROUNDDOWN(D48*E48,0))</f>
        <v>0</v>
      </c>
      <c r="G48" s="201">
        <f>COUNT(C21:C28)</f>
        <v>0</v>
      </c>
      <c r="H48" s="220">
        <f>LOOKUP($B$4,'所得計算R5'!$A$38:$A$40,'所得計算R5'!$G$38:$G$40)</f>
        <v>8410</v>
      </c>
      <c r="I48" s="220">
        <f>G48*H48</f>
        <v>0</v>
      </c>
      <c r="J48" s="202">
        <f>IF(COUNT($C$21:$C$28)&gt;0,1,0)</f>
        <v>0</v>
      </c>
      <c r="K48" s="221">
        <f>LOOKUP($B$4,'所得計算R5'!$A$38:$A$40,'所得計算R5'!$H$38:$H$40)*J48</f>
        <v>0</v>
      </c>
      <c r="L48" s="366">
        <f>IF(ROUNDDOWN(F48+I48+K48,0)&gt;N48,N48,ROUNDDOWN(F48+I48+K48,0))</f>
        <v>0</v>
      </c>
      <c r="M48" s="307"/>
      <c r="N48" s="203">
        <f>'所得計算R5'!I42</f>
        <v>220000</v>
      </c>
      <c r="O48" s="126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</row>
    <row r="49" spans="1:32" s="132" customFormat="1" ht="12" customHeight="1" thickBot="1">
      <c r="A49" s="163"/>
      <c r="B49" s="163"/>
      <c r="C49" s="163"/>
      <c r="D49" s="134"/>
      <c r="F49" s="134"/>
      <c r="G49" s="134"/>
      <c r="K49" s="134"/>
      <c r="O49" s="126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</row>
    <row r="50" spans="1:32" s="133" customFormat="1" ht="32.25" customHeight="1">
      <c r="A50" s="164"/>
      <c r="B50" s="314" t="s">
        <v>132</v>
      </c>
      <c r="C50" s="315"/>
      <c r="D50" s="380" t="s">
        <v>60</v>
      </c>
      <c r="E50" s="283"/>
      <c r="F50" s="387"/>
      <c r="G50" s="380" t="s">
        <v>61</v>
      </c>
      <c r="H50" s="283"/>
      <c r="I50" s="387"/>
      <c r="J50" s="380" t="s">
        <v>62</v>
      </c>
      <c r="K50" s="284"/>
      <c r="L50" s="395" t="s">
        <v>115</v>
      </c>
      <c r="M50" s="396"/>
      <c r="N50" s="164"/>
      <c r="O50" s="126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</row>
    <row r="51" spans="1:32" s="133" customFormat="1" ht="32.25" customHeight="1">
      <c r="A51" s="164"/>
      <c r="B51" s="316"/>
      <c r="C51" s="317"/>
      <c r="D51" s="171" t="s">
        <v>45</v>
      </c>
      <c r="E51" s="171" t="s">
        <v>52</v>
      </c>
      <c r="F51" s="171" t="s">
        <v>53</v>
      </c>
      <c r="G51" s="171" t="s">
        <v>54</v>
      </c>
      <c r="H51" s="171" t="s">
        <v>55</v>
      </c>
      <c r="I51" s="171" t="s">
        <v>56</v>
      </c>
      <c r="J51" s="171" t="s">
        <v>59</v>
      </c>
      <c r="K51" s="172" t="s">
        <v>55</v>
      </c>
      <c r="L51" s="397"/>
      <c r="M51" s="398"/>
      <c r="N51" s="171" t="s">
        <v>66</v>
      </c>
      <c r="O51" s="126"/>
      <c r="P51" s="131"/>
      <c r="W51" s="173"/>
      <c r="X51" s="131"/>
      <c r="Y51" s="131"/>
      <c r="Z51" s="131"/>
      <c r="AA51" s="131"/>
      <c r="AB51" s="131"/>
      <c r="AC51" s="131"/>
      <c r="AD51" s="131"/>
      <c r="AE51" s="131"/>
      <c r="AF51" s="131"/>
    </row>
    <row r="52" spans="1:32" s="133" customFormat="1" ht="44.25" customHeight="1" thickBot="1">
      <c r="A52" s="164"/>
      <c r="B52" s="318"/>
      <c r="C52" s="319"/>
      <c r="D52" s="220">
        <f>_xlfn.IFERROR(IF(M21=1,L21,0)+IF(M23=1,L23,0)+IF(M25=1,L25,0)+IF(M27=1,L27,0),"")</f>
        <v>0</v>
      </c>
      <c r="E52" s="200">
        <f>LOOKUP($B$4,'所得計算R5'!$A$38:$A$40,'所得計算R5'!$J$38:$J$40)</f>
        <v>0.0216</v>
      </c>
      <c r="F52" s="220">
        <f>IF(D52="",0,ROUNDDOWN(D52*E52,0))</f>
        <v>0</v>
      </c>
      <c r="G52" s="201">
        <f>COUNT(M21:M28)</f>
        <v>0</v>
      </c>
      <c r="H52" s="220">
        <f>LOOKUP($B$4,'所得計算R5'!$A$38:$A$40,'所得計算R5'!$K$38:$K$40)</f>
        <v>9200</v>
      </c>
      <c r="I52" s="220">
        <f>G52*H52</f>
        <v>0</v>
      </c>
      <c r="J52" s="202">
        <f>IF(COUNT($M$21:$M$28)&gt;0,1,0)</f>
        <v>0</v>
      </c>
      <c r="K52" s="221">
        <f>LOOKUP($B$4,'所得計算R5'!$A$38:$A$40,'所得計算R5'!$L$38:$L$40)*J52</f>
        <v>0</v>
      </c>
      <c r="L52" s="366">
        <f>IF(ROUNDDOWN(F52+I52+K52,0)&gt;N52,N52,ROUNDDOWN(F52+I52+K52,0))</f>
        <v>0</v>
      </c>
      <c r="M52" s="307"/>
      <c r="N52" s="203">
        <f>'所得計算R5'!M42</f>
        <v>170000</v>
      </c>
      <c r="O52" s="126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</row>
    <row r="53" spans="1:32" s="132" customFormat="1" ht="12" customHeight="1" thickBot="1">
      <c r="A53" s="163"/>
      <c r="B53" s="163"/>
      <c r="C53" s="163"/>
      <c r="D53" s="134"/>
      <c r="F53" s="134"/>
      <c r="G53" s="174"/>
      <c r="K53" s="134"/>
      <c r="O53" s="126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</row>
    <row r="54" spans="1:28" s="133" customFormat="1" ht="32.25" customHeight="1" thickBot="1">
      <c r="A54" s="164"/>
      <c r="B54" s="401" t="s">
        <v>67</v>
      </c>
      <c r="C54" s="401"/>
      <c r="D54" s="418" t="s">
        <v>44</v>
      </c>
      <c r="E54" s="419"/>
      <c r="F54" s="231" t="s">
        <v>35</v>
      </c>
      <c r="G54" s="226">
        <f>'所得計算R5'!M63</f>
        <v>0</v>
      </c>
      <c r="H54" s="227"/>
      <c r="J54" s="414" t="s">
        <v>71</v>
      </c>
      <c r="K54" s="415"/>
      <c r="L54" s="416" t="str">
        <f>_xlfn.IFERROR(IF('所得計算R5'!D54=0,"軽減なし",'所得計算R5'!E54),"")</f>
        <v>軽減なし</v>
      </c>
      <c r="M54" s="417"/>
      <c r="U54" s="131"/>
      <c r="V54" s="131"/>
      <c r="W54" s="131"/>
      <c r="X54" s="131"/>
      <c r="Y54" s="131"/>
      <c r="Z54" s="131"/>
      <c r="AA54" s="131"/>
      <c r="AB54" s="131"/>
    </row>
    <row r="55" spans="1:28" s="133" customFormat="1" ht="32.25" customHeight="1">
      <c r="A55" s="164"/>
      <c r="D55" s="239" t="s">
        <v>39</v>
      </c>
      <c r="E55" s="235">
        <f>IF(D21&gt;550000,"1",0)+IF(D23&gt;550000,"1",0)+IF(D25&gt;550000,"1",0)+IF(D27&gt;550000,"1",0)+IF(D36&gt;550000,"1",0)</f>
        <v>0</v>
      </c>
      <c r="F55" s="232" t="s">
        <v>34</v>
      </c>
      <c r="G55" s="204">
        <f>'所得計算R5'!N59</f>
        <v>430000</v>
      </c>
      <c r="H55" s="228" t="s">
        <v>65</v>
      </c>
      <c r="J55" s="426" t="s">
        <v>69</v>
      </c>
      <c r="K55" s="242" t="s">
        <v>135</v>
      </c>
      <c r="L55" s="420">
        <f>_xlfn.IFERROR((IF('所得計算R5'!D52+'所得計算R5'!D53=0,0,'所得計算R5'!D52+'所得計算R5'!D53)),"")</f>
        <v>0</v>
      </c>
      <c r="M55" s="421"/>
      <c r="U55" s="131"/>
      <c r="V55" s="131"/>
      <c r="W55" s="131"/>
      <c r="X55" s="131"/>
      <c r="Y55" s="131"/>
      <c r="Z55" s="131"/>
      <c r="AA55" s="131"/>
      <c r="AB55" s="131"/>
    </row>
    <row r="56" spans="1:28" s="133" customFormat="1" ht="32.25" customHeight="1">
      <c r="A56" s="164"/>
      <c r="D56" s="239" t="s">
        <v>43</v>
      </c>
      <c r="E56" s="235">
        <f>IF(E21&gt;600000,IF(D21&lt;=550000,1,0),0)+IF(E23&gt;600000,IF(D23&lt;=550000,1,0),0)+IF(E25&gt;600000,IF(D25&lt;=550000,1,0),0)+IF(E27&gt;600000,IF(D27&lt;=550000,1,0),0)+IF(F36&gt;600000,IF(D36&lt;=550000,1,0),0)</f>
        <v>0</v>
      </c>
      <c r="F56" s="233" t="s">
        <v>37</v>
      </c>
      <c r="G56" s="205">
        <f>'所得計算R5'!N61</f>
        <v>430000</v>
      </c>
      <c r="H56" s="228" t="s">
        <v>65</v>
      </c>
      <c r="J56" s="428"/>
      <c r="K56" s="243" t="s">
        <v>136</v>
      </c>
      <c r="L56" s="422">
        <f>_xlfn.IFERROR((IF('所得計算R5'!G52+'所得計算R5'!G53=0,0,'所得計算R5'!G52+'所得計算R5'!G53)),"")</f>
        <v>0</v>
      </c>
      <c r="M56" s="423"/>
      <c r="U56" s="131"/>
      <c r="V56" s="131"/>
      <c r="W56" s="131"/>
      <c r="X56" s="131"/>
      <c r="Y56" s="131"/>
      <c r="Z56" s="131"/>
      <c r="AA56" s="131"/>
      <c r="AB56" s="131"/>
    </row>
    <row r="57" spans="1:28" s="133" customFormat="1" ht="32.25" customHeight="1" thickBot="1">
      <c r="A57" s="164"/>
      <c r="D57" s="240" t="s">
        <v>40</v>
      </c>
      <c r="E57" s="236">
        <f>IF(F21&gt;1250000,IF(D21&lt;=550000,1,0),0)+IF(F23&gt;1250000,IF(D23&lt;=550000,1,0),0)+IF(F25&gt;1250000,IF(D25&lt;=550000,1,0),0)+IF(F27&gt;1250000,IF(D27&lt;=550000,1,0),0)+IF(H36&gt;1250000,IF(D36&lt;=550000,1,0),0)</f>
        <v>0</v>
      </c>
      <c r="F57" s="234" t="s">
        <v>38</v>
      </c>
      <c r="G57" s="229">
        <f>'所得計算R5'!N63</f>
        <v>430000</v>
      </c>
      <c r="H57" s="230" t="s">
        <v>65</v>
      </c>
      <c r="J57" s="427"/>
      <c r="K57" s="244" t="s">
        <v>137</v>
      </c>
      <c r="L57" s="424">
        <f>_xlfn.IFERROR((IF('所得計算R5'!J52+'所得計算R5'!J53=0,0,'所得計算R5'!J52+'所得計算R5'!J53)),"")</f>
        <v>0</v>
      </c>
      <c r="M57" s="425"/>
      <c r="U57" s="131"/>
      <c r="V57" s="131"/>
      <c r="W57" s="131"/>
      <c r="X57" s="131"/>
      <c r="Y57" s="131"/>
      <c r="Z57" s="131"/>
      <c r="AA57" s="131"/>
      <c r="AB57" s="131"/>
    </row>
    <row r="58" spans="1:28" s="132" customFormat="1" ht="12" customHeight="1" thickBot="1">
      <c r="A58" s="164"/>
      <c r="Y58" s="134"/>
      <c r="Z58" s="134"/>
      <c r="AA58" s="134"/>
      <c r="AB58" s="134"/>
    </row>
    <row r="59" spans="1:28" s="132" customFormat="1" ht="32.25" customHeight="1" thickBot="1">
      <c r="A59" s="164"/>
      <c r="B59" s="412" t="s">
        <v>89</v>
      </c>
      <c r="C59" s="412"/>
      <c r="D59" s="237" t="s">
        <v>85</v>
      </c>
      <c r="E59" s="238">
        <f>COUNTIF(C21:C28,"&lt;6")</f>
        <v>0</v>
      </c>
      <c r="J59" s="426" t="s">
        <v>88</v>
      </c>
      <c r="K59" s="225" t="s">
        <v>135</v>
      </c>
      <c r="L59" s="402">
        <f>'所得計算R5'!D62</f>
        <v>0</v>
      </c>
      <c r="M59" s="403"/>
      <c r="N59" s="164"/>
      <c r="Y59" s="134"/>
      <c r="Z59" s="134"/>
      <c r="AA59" s="134"/>
      <c r="AB59" s="134"/>
    </row>
    <row r="60" spans="1:32" s="132" customFormat="1" ht="32.25" customHeight="1" thickBot="1">
      <c r="A60" s="164"/>
      <c r="B60" s="241"/>
      <c r="C60" s="241"/>
      <c r="J60" s="427"/>
      <c r="K60" s="245" t="s">
        <v>136</v>
      </c>
      <c r="L60" s="404">
        <f>'所得計算R5'!G62</f>
        <v>0</v>
      </c>
      <c r="M60" s="307"/>
      <c r="Y60" s="134"/>
      <c r="Z60" s="134"/>
      <c r="AA60" s="134"/>
      <c r="AB60" s="134"/>
      <c r="AC60" s="134"/>
      <c r="AD60" s="134"/>
      <c r="AE60" s="134"/>
      <c r="AF60" s="134"/>
    </row>
    <row r="61" spans="19:32" s="132" customFormat="1" ht="12" customHeight="1" thickBot="1"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</row>
    <row r="62" spans="4:32" s="132" customFormat="1" ht="32.25" customHeight="1">
      <c r="D62" s="405" t="s">
        <v>138</v>
      </c>
      <c r="E62" s="405"/>
      <c r="F62" s="408">
        <f>ROUNDDOWN(L44-(L55+L59),-2)+ROUNDDOWN(L48-(L56+L60),-2)+ROUNDDOWN(L52-L57,-2)</f>
        <v>0</v>
      </c>
      <c r="G62" s="408"/>
      <c r="H62" s="223" t="s">
        <v>66</v>
      </c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</row>
    <row r="63" spans="1:32" s="132" customFormat="1" ht="44.25" customHeight="1">
      <c r="A63" s="164"/>
      <c r="D63" s="406"/>
      <c r="E63" s="406"/>
      <c r="F63" s="409"/>
      <c r="G63" s="409"/>
      <c r="H63" s="224">
        <f>'所得計算R5'!N42</f>
        <v>1040000</v>
      </c>
      <c r="J63" s="412" t="s">
        <v>106</v>
      </c>
      <c r="K63" s="412"/>
      <c r="L63" s="411">
        <f>_xlfn.IFERROR(F62/12,"")</f>
        <v>0</v>
      </c>
      <c r="M63" s="411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</row>
    <row r="64" spans="1:32" s="132" customFormat="1" ht="32.25" customHeight="1" thickBot="1">
      <c r="A64" s="164"/>
      <c r="D64" s="407"/>
      <c r="E64" s="407"/>
      <c r="F64" s="410"/>
      <c r="G64" s="410"/>
      <c r="H64" s="164"/>
      <c r="J64" s="413" t="s">
        <v>70</v>
      </c>
      <c r="K64" s="413"/>
      <c r="L64" s="413"/>
      <c r="M64" s="413"/>
      <c r="N64" s="246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</row>
    <row r="65" spans="1:32" s="132" customFormat="1" ht="11.25" customHeight="1">
      <c r="A65" s="164"/>
      <c r="E65" s="164"/>
      <c r="F65" s="164"/>
      <c r="G65" s="164"/>
      <c r="H65" s="164"/>
      <c r="I65" s="164"/>
      <c r="O65" s="126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</row>
    <row r="66" spans="1:31" s="133" customFormat="1" ht="32.25" customHeight="1">
      <c r="A66" s="164"/>
      <c r="B66" s="164"/>
      <c r="C66" s="399" t="s">
        <v>113</v>
      </c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O66" s="176"/>
      <c r="P66" s="175"/>
      <c r="Q66" s="175"/>
      <c r="R66" s="175"/>
      <c r="S66" s="177"/>
      <c r="T66" s="175"/>
      <c r="U66" s="175"/>
      <c r="V66" s="175"/>
      <c r="W66" s="175"/>
      <c r="X66" s="175"/>
      <c r="Y66" s="175"/>
      <c r="Z66" s="175"/>
      <c r="AA66" s="131"/>
      <c r="AB66" s="131"/>
      <c r="AC66" s="131"/>
      <c r="AD66" s="131"/>
      <c r="AE66" s="131"/>
    </row>
    <row r="67" spans="1:31" s="133" customFormat="1" ht="11.25" customHeight="1">
      <c r="A67" s="164"/>
      <c r="B67" s="164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O67" s="176"/>
      <c r="P67" s="175"/>
      <c r="Q67" s="175"/>
      <c r="R67" s="175"/>
      <c r="S67" s="177"/>
      <c r="T67" s="175"/>
      <c r="U67" s="175"/>
      <c r="V67" s="175"/>
      <c r="W67" s="175"/>
      <c r="X67" s="175"/>
      <c r="Y67" s="175"/>
      <c r="Z67" s="175"/>
      <c r="AA67" s="131"/>
      <c r="AB67" s="131"/>
      <c r="AC67" s="131"/>
      <c r="AD67" s="131"/>
      <c r="AE67" s="131"/>
    </row>
    <row r="68" spans="1:32" s="132" customFormat="1" ht="8.25" customHeight="1" thickBot="1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26"/>
      <c r="AA68" s="134"/>
      <c r="AB68" s="134"/>
      <c r="AC68" s="134"/>
      <c r="AD68" s="134"/>
      <c r="AE68" s="134"/>
      <c r="AF68" s="134"/>
    </row>
    <row r="69" spans="1:32" s="162" customFormat="1" ht="33" customHeight="1" thickBot="1">
      <c r="A69" s="112"/>
      <c r="B69" s="320">
        <f>B4</f>
        <v>5</v>
      </c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2"/>
      <c r="N69" s="160"/>
      <c r="O69" s="148"/>
      <c r="AA69" s="161"/>
      <c r="AB69" s="161"/>
      <c r="AC69" s="161"/>
      <c r="AD69" s="161"/>
      <c r="AE69" s="161"/>
      <c r="AF69" s="161"/>
    </row>
    <row r="70" spans="1:32" s="132" customFormat="1" ht="12" customHeight="1" thickBot="1">
      <c r="A70" s="163"/>
      <c r="B70" s="163"/>
      <c r="C70" s="163"/>
      <c r="D70" s="134"/>
      <c r="F70" s="134"/>
      <c r="G70" s="134"/>
      <c r="K70" s="134"/>
      <c r="O70" s="126"/>
      <c r="AA70" s="134"/>
      <c r="AB70" s="134"/>
      <c r="AC70" s="134"/>
      <c r="AD70" s="134"/>
      <c r="AE70" s="134"/>
      <c r="AF70" s="134"/>
    </row>
    <row r="71" spans="2:32" s="132" customFormat="1" ht="30" customHeight="1" thickBot="1">
      <c r="B71" s="287" t="s">
        <v>117</v>
      </c>
      <c r="C71" s="288"/>
      <c r="D71" s="293" t="s">
        <v>57</v>
      </c>
      <c r="E71" s="294"/>
      <c r="F71" s="295"/>
      <c r="G71" s="296" t="s">
        <v>118</v>
      </c>
      <c r="H71" s="297"/>
      <c r="I71" s="298"/>
      <c r="J71" s="299" t="s">
        <v>131</v>
      </c>
      <c r="K71" s="300"/>
      <c r="L71" s="301"/>
      <c r="M71" s="302" t="s">
        <v>126</v>
      </c>
      <c r="N71" s="303"/>
      <c r="O71" s="126"/>
      <c r="AC71" s="134"/>
      <c r="AD71" s="134"/>
      <c r="AE71" s="134"/>
      <c r="AF71" s="134"/>
    </row>
    <row r="72" spans="2:31" s="133" customFormat="1" ht="30" customHeight="1">
      <c r="B72" s="289"/>
      <c r="C72" s="290"/>
      <c r="D72" s="274" t="s">
        <v>17</v>
      </c>
      <c r="E72" s="275"/>
      <c r="F72" s="213" t="s">
        <v>16</v>
      </c>
      <c r="G72" s="276" t="s">
        <v>124</v>
      </c>
      <c r="H72" s="277"/>
      <c r="I72" s="214" t="s">
        <v>125</v>
      </c>
      <c r="J72" s="285" t="s">
        <v>124</v>
      </c>
      <c r="K72" s="286"/>
      <c r="L72" s="215" t="s">
        <v>125</v>
      </c>
      <c r="M72" s="310"/>
      <c r="N72" s="311"/>
      <c r="O72" s="126"/>
      <c r="AC72" s="131"/>
      <c r="AD72" s="131"/>
      <c r="AE72" s="131"/>
    </row>
    <row r="73" spans="2:31" s="133" customFormat="1" ht="30" customHeight="1">
      <c r="B73" s="289"/>
      <c r="C73" s="290"/>
      <c r="D73" s="216" t="s">
        <v>52</v>
      </c>
      <c r="E73" s="165" t="s">
        <v>119</v>
      </c>
      <c r="F73" s="166" t="s">
        <v>55</v>
      </c>
      <c r="G73" s="217" t="s">
        <v>52</v>
      </c>
      <c r="H73" s="168" t="s">
        <v>55</v>
      </c>
      <c r="I73" s="169" t="s">
        <v>119</v>
      </c>
      <c r="J73" s="218" t="s">
        <v>52</v>
      </c>
      <c r="K73" s="171" t="s">
        <v>119</v>
      </c>
      <c r="L73" s="172" t="s">
        <v>55</v>
      </c>
      <c r="M73" s="304"/>
      <c r="N73" s="305"/>
      <c r="O73" s="126"/>
      <c r="AC73" s="131"/>
      <c r="AD73" s="131"/>
      <c r="AE73" s="131"/>
    </row>
    <row r="74" spans="2:31" s="133" customFormat="1" ht="42" customHeight="1" thickBot="1">
      <c r="B74" s="291"/>
      <c r="C74" s="292"/>
      <c r="D74" s="219">
        <f>IF($L$21=0,"",$E$44)</f>
      </c>
      <c r="E74" s="220">
        <f>IF($L$21=0,0,ROUNDDOWN($L$21*D74,0))</f>
        <v>0</v>
      </c>
      <c r="F74" s="221">
        <f>IF($C$21="",0,IF($L$54="７割軽減該当",IF($C$21&lt;6,$H$44*0.3/2,$H$44*0.3),IF($L$54="５割軽減該当",IF($C$21&lt;6,$H$44*0.5/2,$H$44*0.5),IF($L$54="２割軽減該当",IF($C$21&lt;6,$H$44*0.8/2,$H$44*0.8),IF($C$21&lt;6,$H$44/2,$H$44)))))</f>
        <v>0</v>
      </c>
      <c r="G74" s="219">
        <f>IF($L$21=0,"",'所得計算R5'!$F$42)</f>
      </c>
      <c r="H74" s="220">
        <f>IF($L$21=0,0,ROUNDDOWN($L$21*G74,0))</f>
        <v>0</v>
      </c>
      <c r="I74" s="221">
        <f>IF($C$21="",0,IF($L$54="７割軽減該当",IF($C$21&lt;6,$H$48*0.3/2,$H$48*0.3),IF($L$54="５割軽減該当",IF($C$21&lt;6,$H$48*0.5/2,$H$48*0.5),IF($L$54="２割軽減該当",IF($C$21&lt;6,$H$48*0.8/2,$H$48*0.8),IF($C$21&lt;6,$H$48/2,$H$48)))))</f>
        <v>0</v>
      </c>
      <c r="J74" s="219">
        <f>IF(OR($L$21=0,$M$21=""),"",'所得計算R5'!$J$42)</f>
      </c>
      <c r="K74" s="220">
        <f>IF(OR($L$21=0,$M$21=""),0,ROUNDDOWN($L$21*J74,0))</f>
        <v>0</v>
      </c>
      <c r="L74" s="221">
        <f>IF($M$21="",0,IF($L$54="７割軽減該当",$H$52*0.3,IF($L$54="５割軽減該当",$H$52*0.5,IF($L$54="２割軽減該当",$H$52*0.8,$H$52))))</f>
        <v>0</v>
      </c>
      <c r="M74" s="306">
        <f>ROUNDDOWN(E74+F74+H74+I74+K74+L74,0)</f>
        <v>0</v>
      </c>
      <c r="N74" s="307"/>
      <c r="O74" s="126"/>
      <c r="AC74" s="131"/>
      <c r="AD74" s="131"/>
      <c r="AE74" s="131"/>
    </row>
    <row r="75" spans="2:32" s="132" customFormat="1" ht="12" customHeight="1" thickBot="1">
      <c r="B75" s="163"/>
      <c r="C75" s="163"/>
      <c r="D75" s="163"/>
      <c r="E75" s="134"/>
      <c r="G75" s="134"/>
      <c r="H75" s="134"/>
      <c r="L75" s="134"/>
      <c r="O75" s="126"/>
      <c r="AC75" s="134"/>
      <c r="AD75" s="134"/>
      <c r="AE75" s="134"/>
      <c r="AF75" s="134"/>
    </row>
    <row r="76" spans="2:32" s="132" customFormat="1" ht="30" customHeight="1" thickBot="1">
      <c r="B76" s="287" t="s">
        <v>120</v>
      </c>
      <c r="C76" s="288"/>
      <c r="D76" s="293" t="s">
        <v>57</v>
      </c>
      <c r="E76" s="294"/>
      <c r="F76" s="295"/>
      <c r="G76" s="296" t="s">
        <v>118</v>
      </c>
      <c r="H76" s="297"/>
      <c r="I76" s="298"/>
      <c r="J76" s="299" t="s">
        <v>131</v>
      </c>
      <c r="K76" s="300"/>
      <c r="L76" s="301"/>
      <c r="M76" s="302" t="s">
        <v>127</v>
      </c>
      <c r="N76" s="303"/>
      <c r="O76" s="126"/>
      <c r="AC76" s="134"/>
      <c r="AD76" s="134"/>
      <c r="AE76" s="134"/>
      <c r="AF76" s="134"/>
    </row>
    <row r="77" spans="2:31" s="133" customFormat="1" ht="30" customHeight="1">
      <c r="B77" s="289"/>
      <c r="C77" s="290"/>
      <c r="D77" s="274" t="s">
        <v>124</v>
      </c>
      <c r="E77" s="275"/>
      <c r="F77" s="213" t="s">
        <v>125</v>
      </c>
      <c r="G77" s="276" t="s">
        <v>124</v>
      </c>
      <c r="H77" s="277"/>
      <c r="I77" s="214" t="s">
        <v>125</v>
      </c>
      <c r="J77" s="285" t="s">
        <v>124</v>
      </c>
      <c r="K77" s="286"/>
      <c r="L77" s="215" t="s">
        <v>125</v>
      </c>
      <c r="M77" s="310"/>
      <c r="N77" s="311"/>
      <c r="O77" s="126"/>
      <c r="AC77" s="131"/>
      <c r="AD77" s="131"/>
      <c r="AE77" s="131"/>
    </row>
    <row r="78" spans="2:31" s="133" customFormat="1" ht="30" customHeight="1">
      <c r="B78" s="289"/>
      <c r="C78" s="290"/>
      <c r="D78" s="216" t="s">
        <v>52</v>
      </c>
      <c r="E78" s="165" t="s">
        <v>119</v>
      </c>
      <c r="F78" s="166" t="s">
        <v>55</v>
      </c>
      <c r="G78" s="217" t="s">
        <v>52</v>
      </c>
      <c r="H78" s="168" t="s">
        <v>55</v>
      </c>
      <c r="I78" s="169" t="s">
        <v>119</v>
      </c>
      <c r="J78" s="218" t="s">
        <v>52</v>
      </c>
      <c r="K78" s="171" t="s">
        <v>119</v>
      </c>
      <c r="L78" s="172" t="s">
        <v>55</v>
      </c>
      <c r="M78" s="304"/>
      <c r="N78" s="305"/>
      <c r="O78" s="126"/>
      <c r="AC78" s="131"/>
      <c r="AD78" s="131"/>
      <c r="AE78" s="131"/>
    </row>
    <row r="79" spans="2:31" s="133" customFormat="1" ht="42" customHeight="1" thickBot="1">
      <c r="B79" s="291"/>
      <c r="C79" s="292"/>
      <c r="D79" s="219">
        <f>IF($L$23=0,"",$E$44)</f>
      </c>
      <c r="E79" s="220">
        <f>IF($L$23=0,0,ROUNDDOWN($L$23*D79,0))</f>
        <v>0</v>
      </c>
      <c r="F79" s="221">
        <f>IF($C$23="",0,IF($L$54="７割軽減該当",IF($C$23&lt;6,$H$44*0.3/2,$H$44*0.3),IF($L$54="５割軽減該当",IF($C$23&lt;6,$H$44*0.5/2,$H$44*0.5),IF($L$54="２割軽減該当",IF($C$23&lt;6,$H$44*0.8/2,$H$44*0.8),IF($C$23&lt;6,$H$44/2,$H$44)))))</f>
        <v>0</v>
      </c>
      <c r="G79" s="219">
        <f>IF($L$23=0,"",'所得計算R5'!$F$42)</f>
      </c>
      <c r="H79" s="220">
        <f>IF($L$23=0,0,ROUNDDOWN($L$23*G79,0))</f>
        <v>0</v>
      </c>
      <c r="I79" s="221">
        <f>IF($C$23="",0,IF($L$54="７割軽減該当",IF($C$23&lt;6,$H$48*0.3/2,$H$48*0.3),IF($L$54="５割軽減該当",IF($C$23&lt;6,$H$48*0.5/2,$H$48*0.5),IF($L$54="２割軽減該当",IF($C$23&lt;6,$H$48*0.8/2,$H$48*0.8),IF($C$23&lt;6,$H$48/2,$H$48)))))</f>
        <v>0</v>
      </c>
      <c r="J79" s="219">
        <f>IF(OR($L$23=0,$M$23=""),"",'所得計算R5'!$J$42)</f>
      </c>
      <c r="K79" s="220">
        <f>IF(OR($L$23=0,$M$23=""),0,ROUNDDOWN($L$23*J79,0))</f>
        <v>0</v>
      </c>
      <c r="L79" s="221">
        <f>IF($M$23="",0,IF($L$54="７割軽減該当",$H$52*0.3,IF($L$54="５割軽減該当",$H$52*0.5,IF($L$54="２割軽減該当",$H$52*0.8,$H$52))))</f>
        <v>0</v>
      </c>
      <c r="M79" s="306">
        <f>ROUNDDOWN(E79+F79+H79+I79+K79+L79,0)</f>
        <v>0</v>
      </c>
      <c r="N79" s="307"/>
      <c r="O79" s="126"/>
      <c r="AC79" s="131"/>
      <c r="AD79" s="131"/>
      <c r="AE79" s="131"/>
    </row>
    <row r="80" spans="2:32" s="132" customFormat="1" ht="12" customHeight="1" thickBot="1">
      <c r="B80" s="163"/>
      <c r="C80" s="163"/>
      <c r="D80" s="163"/>
      <c r="E80" s="134"/>
      <c r="G80" s="134"/>
      <c r="H80" s="134"/>
      <c r="L80" s="134"/>
      <c r="O80" s="126"/>
      <c r="AC80" s="134"/>
      <c r="AD80" s="134"/>
      <c r="AE80" s="134"/>
      <c r="AF80" s="134"/>
    </row>
    <row r="81" spans="2:32" s="132" customFormat="1" ht="30" customHeight="1" thickBot="1">
      <c r="B81" s="287" t="s">
        <v>121</v>
      </c>
      <c r="C81" s="288"/>
      <c r="D81" s="293" t="s">
        <v>57</v>
      </c>
      <c r="E81" s="294"/>
      <c r="F81" s="295"/>
      <c r="G81" s="296" t="s">
        <v>118</v>
      </c>
      <c r="H81" s="297"/>
      <c r="I81" s="298"/>
      <c r="J81" s="299" t="s">
        <v>131</v>
      </c>
      <c r="K81" s="300"/>
      <c r="L81" s="301"/>
      <c r="M81" s="302" t="s">
        <v>128</v>
      </c>
      <c r="N81" s="303"/>
      <c r="O81" s="126"/>
      <c r="AC81" s="134"/>
      <c r="AD81" s="134"/>
      <c r="AE81" s="134"/>
      <c r="AF81" s="134"/>
    </row>
    <row r="82" spans="2:31" s="133" customFormat="1" ht="30" customHeight="1">
      <c r="B82" s="289"/>
      <c r="C82" s="290"/>
      <c r="D82" s="274" t="s">
        <v>124</v>
      </c>
      <c r="E82" s="275"/>
      <c r="F82" s="213" t="s">
        <v>125</v>
      </c>
      <c r="G82" s="276" t="s">
        <v>124</v>
      </c>
      <c r="H82" s="277"/>
      <c r="I82" s="214" t="s">
        <v>125</v>
      </c>
      <c r="J82" s="285" t="s">
        <v>124</v>
      </c>
      <c r="K82" s="286"/>
      <c r="L82" s="215" t="s">
        <v>125</v>
      </c>
      <c r="M82" s="310"/>
      <c r="N82" s="311"/>
      <c r="O82" s="126"/>
      <c r="AC82" s="131"/>
      <c r="AD82" s="131"/>
      <c r="AE82" s="131"/>
    </row>
    <row r="83" spans="2:31" s="133" customFormat="1" ht="30" customHeight="1">
      <c r="B83" s="289"/>
      <c r="C83" s="290"/>
      <c r="D83" s="216" t="s">
        <v>52</v>
      </c>
      <c r="E83" s="165" t="s">
        <v>119</v>
      </c>
      <c r="F83" s="166" t="s">
        <v>55</v>
      </c>
      <c r="G83" s="217" t="s">
        <v>52</v>
      </c>
      <c r="H83" s="168" t="s">
        <v>55</v>
      </c>
      <c r="I83" s="169" t="s">
        <v>119</v>
      </c>
      <c r="J83" s="218" t="s">
        <v>52</v>
      </c>
      <c r="K83" s="171" t="s">
        <v>119</v>
      </c>
      <c r="L83" s="172" t="s">
        <v>55</v>
      </c>
      <c r="M83" s="304"/>
      <c r="N83" s="305"/>
      <c r="O83" s="126"/>
      <c r="AC83" s="131"/>
      <c r="AD83" s="131"/>
      <c r="AE83" s="131"/>
    </row>
    <row r="84" spans="2:31" s="133" customFormat="1" ht="42" customHeight="1" thickBot="1">
      <c r="B84" s="291"/>
      <c r="C84" s="292"/>
      <c r="D84" s="219">
        <f>IF($L$25=0,"",$E$44)</f>
      </c>
      <c r="E84" s="220">
        <f>IF($L$25=0,0,ROUNDDOWN($L$25*D84,0))</f>
        <v>0</v>
      </c>
      <c r="F84" s="221">
        <f>IF($C$25="",0,IF($L$54="７割軽減該当",IF($C$25&lt;6,$H$44*0.3/2,$H$44*0.3),IF($L$54="５割軽減該当",IF($C$25&lt;6,$H$44*0.5/2,$H$44*0.5),IF($L$54="２割軽減該当",IF($C$25&lt;6,$H$44*0.8/2,$H$44*0.8),IF($C$25&lt;6,$H$44/2,$H$44)))))</f>
        <v>0</v>
      </c>
      <c r="G84" s="219">
        <f>IF($L$25=0,"",'所得計算R5'!$F$42)</f>
      </c>
      <c r="H84" s="220">
        <f>IF($L$25=0,0,ROUNDDOWN($L$27*G84,0))</f>
        <v>0</v>
      </c>
      <c r="I84" s="221">
        <f>IF($C$25="",0,IF($L$54="７割軽減該当",IF($C$25&lt;6,$H$48*0.3/2,$H$48*0.3),IF($L$54="５割軽減該当",IF($C$25&lt;6,$H$48*0.5/2,$H$48*0.5),IF($L$54="２割軽減該当",IF($C$25&lt;6,$H$48*0.8/2,$H$48*0.8),IF($C$25&lt;6,$H$48/2,$H$48)))))</f>
        <v>0</v>
      </c>
      <c r="J84" s="219">
        <f>IF(OR($L$25=0,$M$25=""),"",'所得計算R5'!$J$42)</f>
      </c>
      <c r="K84" s="220">
        <f>IF(OR($L$25=0,$M$25=""),0,ROUNDDOWN($L$25*J84,0))</f>
        <v>0</v>
      </c>
      <c r="L84" s="221">
        <f>IF($M$25="",0,IF($L$54="７割軽減該当",$H$52*0.3,IF($L$54="５割軽減該当",$H$52*0.5,IF($L$54="２割軽減該当",$H$52*0.8,$H$52))))</f>
        <v>0</v>
      </c>
      <c r="M84" s="306">
        <f>ROUNDDOWN(E84+F84+H84+I84+K84+L84,0)</f>
        <v>0</v>
      </c>
      <c r="N84" s="307"/>
      <c r="O84" s="126"/>
      <c r="AC84" s="131"/>
      <c r="AD84" s="131"/>
      <c r="AE84" s="131"/>
    </row>
    <row r="85" spans="2:32" s="132" customFormat="1" ht="12" customHeight="1" thickBot="1">
      <c r="B85" s="163"/>
      <c r="C85" s="163"/>
      <c r="D85" s="163"/>
      <c r="E85" s="134"/>
      <c r="G85" s="134"/>
      <c r="H85" s="134"/>
      <c r="L85" s="134"/>
      <c r="O85" s="126"/>
      <c r="AC85" s="134"/>
      <c r="AD85" s="134"/>
      <c r="AE85" s="134"/>
      <c r="AF85" s="134"/>
    </row>
    <row r="86" spans="2:32" s="132" customFormat="1" ht="30" customHeight="1" thickBot="1">
      <c r="B86" s="287" t="s">
        <v>122</v>
      </c>
      <c r="C86" s="288"/>
      <c r="D86" s="293" t="s">
        <v>57</v>
      </c>
      <c r="E86" s="294"/>
      <c r="F86" s="295"/>
      <c r="G86" s="296" t="s">
        <v>118</v>
      </c>
      <c r="H86" s="297"/>
      <c r="I86" s="298"/>
      <c r="J86" s="299" t="s">
        <v>131</v>
      </c>
      <c r="K86" s="300"/>
      <c r="L86" s="301"/>
      <c r="M86" s="302" t="s">
        <v>129</v>
      </c>
      <c r="N86" s="303"/>
      <c r="O86" s="126"/>
      <c r="AC86" s="134"/>
      <c r="AD86" s="134"/>
      <c r="AE86" s="134"/>
      <c r="AF86" s="134"/>
    </row>
    <row r="87" spans="2:31" s="133" customFormat="1" ht="30" customHeight="1">
      <c r="B87" s="289"/>
      <c r="C87" s="290"/>
      <c r="D87" s="274" t="s">
        <v>124</v>
      </c>
      <c r="E87" s="275"/>
      <c r="F87" s="213" t="s">
        <v>125</v>
      </c>
      <c r="G87" s="276" t="s">
        <v>124</v>
      </c>
      <c r="H87" s="277"/>
      <c r="I87" s="214" t="s">
        <v>125</v>
      </c>
      <c r="J87" s="285" t="s">
        <v>124</v>
      </c>
      <c r="K87" s="286"/>
      <c r="L87" s="215" t="s">
        <v>125</v>
      </c>
      <c r="M87" s="310"/>
      <c r="N87" s="311"/>
      <c r="O87" s="126"/>
      <c r="AC87" s="131"/>
      <c r="AD87" s="131"/>
      <c r="AE87" s="131"/>
    </row>
    <row r="88" spans="2:31" s="133" customFormat="1" ht="30" customHeight="1">
      <c r="B88" s="289"/>
      <c r="C88" s="290"/>
      <c r="D88" s="216" t="s">
        <v>52</v>
      </c>
      <c r="E88" s="165" t="s">
        <v>119</v>
      </c>
      <c r="F88" s="166" t="s">
        <v>55</v>
      </c>
      <c r="G88" s="217" t="s">
        <v>52</v>
      </c>
      <c r="H88" s="168" t="s">
        <v>55</v>
      </c>
      <c r="I88" s="169" t="s">
        <v>119</v>
      </c>
      <c r="J88" s="218" t="s">
        <v>52</v>
      </c>
      <c r="K88" s="171" t="s">
        <v>119</v>
      </c>
      <c r="L88" s="172" t="s">
        <v>55</v>
      </c>
      <c r="M88" s="304"/>
      <c r="N88" s="305"/>
      <c r="O88" s="126"/>
      <c r="AC88" s="131"/>
      <c r="AD88" s="131"/>
      <c r="AE88" s="131"/>
    </row>
    <row r="89" spans="2:31" s="133" customFormat="1" ht="42" customHeight="1" thickBot="1">
      <c r="B89" s="291"/>
      <c r="C89" s="292"/>
      <c r="D89" s="219">
        <f>IF($L$27=0,"",$E$44)</f>
      </c>
      <c r="E89" s="220">
        <f>IF($L$27=0,0,ROUNDDOWN($L$27*D89,0))</f>
        <v>0</v>
      </c>
      <c r="F89" s="221">
        <f>IF($C$27="",0,IF($L$54="７割軽減該当",IF($C$27&lt;6,$H$44*0.3/2,$H$44*0.3),IF($L$54="５割軽減該当",IF($C$27&lt;6,$H$44*0.5/2,$H$44*0.5),IF($L$54="２割軽減該当",IF($C$27&lt;6,$H$44*0.8/2,$H$44*0.8),IF($C$27&lt;6,$H$44/2,$H$44)))))</f>
        <v>0</v>
      </c>
      <c r="G89" s="219">
        <f>IF($L$27=0,"",'所得計算R5'!$F$42)</f>
      </c>
      <c r="H89" s="220">
        <f>IF($L$27=0,0,ROUNDDOWN($L$27*G89,0))</f>
        <v>0</v>
      </c>
      <c r="I89" s="221">
        <f>IF($C$27="",0,IF($L$54="７割軽減該当",IF($C$27&lt;6,$H$48*0.3/2,$H$48*0.3),IF($L$54="５割軽減該当",IF($C$27&lt;6,$H$48*0.5/2,$H$48*0.5),IF($L$54="２割軽減該当",IF($C$27&lt;6,$H$48*0.8/2,$H$48*0.8),IF($C$27&lt;6,$H$48/2,$H$48)))))</f>
        <v>0</v>
      </c>
      <c r="J89" s="219">
        <f>IF(OR($L$27=0,$M$27=""),"",'所得計算R5'!$J$42)</f>
      </c>
      <c r="K89" s="220">
        <f>IF(OR($L$27=0,$M$27=""),0,ROUNDDOWN($L$27*J89,0))</f>
        <v>0</v>
      </c>
      <c r="L89" s="221">
        <f>IF($M$27="",0,IF($L$54="７割軽減該当",$H$52*0.3,IF($L$54="５割軽減該当",$H$52*0.5,IF($L$54="２割軽減該当",$H$52*0.8,$H$52))))</f>
        <v>0</v>
      </c>
      <c r="M89" s="306">
        <f>ROUNDDOWN(E89+F89+H89+I89+K89+L89,0)</f>
        <v>0</v>
      </c>
      <c r="N89" s="307"/>
      <c r="O89" s="126"/>
      <c r="AC89" s="131"/>
      <c r="AD89" s="131"/>
      <c r="AE89" s="131"/>
    </row>
    <row r="90" spans="1:32" s="132" customFormat="1" ht="12" customHeight="1" thickBot="1">
      <c r="A90" s="163"/>
      <c r="B90" s="163"/>
      <c r="C90" s="163"/>
      <c r="D90" s="134"/>
      <c r="F90" s="134"/>
      <c r="G90" s="134"/>
      <c r="K90" s="134"/>
      <c r="O90" s="126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</row>
    <row r="91" spans="2:32" s="132" customFormat="1" ht="30" customHeight="1" thickBot="1">
      <c r="B91" s="287" t="s">
        <v>123</v>
      </c>
      <c r="C91" s="288"/>
      <c r="D91" s="293" t="s">
        <v>57</v>
      </c>
      <c r="E91" s="294"/>
      <c r="F91" s="295"/>
      <c r="G91" s="296" t="s">
        <v>118</v>
      </c>
      <c r="H91" s="297"/>
      <c r="I91" s="298"/>
      <c r="J91" s="299" t="s">
        <v>131</v>
      </c>
      <c r="K91" s="300"/>
      <c r="L91" s="301"/>
      <c r="M91" s="302" t="s">
        <v>130</v>
      </c>
      <c r="N91" s="303"/>
      <c r="O91" s="126"/>
      <c r="AC91" s="134"/>
      <c r="AD91" s="134"/>
      <c r="AE91" s="134"/>
      <c r="AF91" s="134"/>
    </row>
    <row r="92" spans="2:31" s="133" customFormat="1" ht="30" customHeight="1">
      <c r="B92" s="289"/>
      <c r="C92" s="290"/>
      <c r="D92" s="274" t="s">
        <v>55</v>
      </c>
      <c r="E92" s="308"/>
      <c r="F92" s="309"/>
      <c r="G92" s="276" t="s">
        <v>119</v>
      </c>
      <c r="H92" s="312"/>
      <c r="I92" s="313"/>
      <c r="J92" s="282" t="s">
        <v>55</v>
      </c>
      <c r="K92" s="283"/>
      <c r="L92" s="284"/>
      <c r="M92" s="304"/>
      <c r="N92" s="305"/>
      <c r="O92" s="126"/>
      <c r="AC92" s="131"/>
      <c r="AD92" s="131"/>
      <c r="AE92" s="131"/>
    </row>
    <row r="93" spans="2:31" s="133" customFormat="1" ht="42" customHeight="1" thickBot="1">
      <c r="B93" s="291"/>
      <c r="C93" s="292"/>
      <c r="D93" s="278">
        <f>IF(C21="",0,IF($L$54="７割軽減該当",$K$44*0.3,IF($L$54="５割軽減該当",$K$44*0.5,IF($L$54="２割軽減該当",$K$44*0.8,$K$44))))</f>
        <v>0</v>
      </c>
      <c r="E93" s="279">
        <f>IF($C$21="",0,IF($L$54="７割軽減該当",$H$44*0.3,IF($L$54="５割軽減該当",$H$44*0.5,IF($L$54="２割軽減該当",$H$44*0.8,$H$44))))</f>
        <v>0</v>
      </c>
      <c r="F93" s="280">
        <f>IF($C$21="",0,IF($L$54="７割軽減該当",$H$44*0.3,IF($L$54="５割軽減該当",$H$44*0.5,IF($L$54="２割軽減該当",$H$44*0.8,$H$44))))</f>
        <v>0</v>
      </c>
      <c r="G93" s="278">
        <f>IF(C21="",0,IF($L$54="７割軽減該当",$K$48*0.3,IF($L$54="５割軽減該当",$K$48*0.5,IF($L$54="２割軽減該当",$K$48*0.8,$K$48))))</f>
        <v>0</v>
      </c>
      <c r="H93" s="279">
        <f>IF($C$21="",0,IF($L$54="７割軽減該当",$H$44*0.3,IF($L$54="５割軽減該当",$H$44*0.5,IF($L$54="２割軽減該当",$H$44*0.8,$H$44))))</f>
        <v>0</v>
      </c>
      <c r="I93" s="280">
        <f>IF($C$21="",0,IF($L$54="７割軽減該当",$H$44*0.3,IF($L$54="５割軽減該当",$H$44*0.5,IF($L$54="２割軽減該当",$H$44*0.8,$H$44))))</f>
        <v>0</v>
      </c>
      <c r="J93" s="278">
        <f>IF(C21="",0,IF(OR(M21=1,M23=1,M25=1,M27=1),IF($L$54="７割軽減該当",$K$52*0.3,IF($L$54="５割軽減該当",$K$52*0.5,IF($L$54="２割軽減該当",$K$52*0.8,$K$52))),0))</f>
        <v>0</v>
      </c>
      <c r="K93" s="279"/>
      <c r="L93" s="280"/>
      <c r="M93" s="306">
        <f>ROUNDDOWN(D93+G93+J93,0)</f>
        <v>0</v>
      </c>
      <c r="N93" s="307"/>
      <c r="O93" s="126"/>
      <c r="AC93" s="131"/>
      <c r="AD93" s="131"/>
      <c r="AE93" s="131"/>
    </row>
    <row r="94" spans="3:32" s="133" customFormat="1" ht="11.25" customHeight="1">
      <c r="C94" s="131"/>
      <c r="O94" s="126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</row>
    <row r="95" spans="3:32" s="133" customFormat="1" ht="32.25" customHeight="1">
      <c r="C95" s="399" t="s">
        <v>139</v>
      </c>
      <c r="D95" s="399"/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212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</row>
    <row r="96" spans="16:32" s="133" customFormat="1" ht="11.25" customHeight="1"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</row>
    <row r="97" spans="16:17" ht="19.5" customHeight="1">
      <c r="P97" s="131"/>
      <c r="Q97" s="131"/>
    </row>
    <row r="98" spans="16:17" ht="18.75">
      <c r="P98" s="131"/>
      <c r="Q98" s="131"/>
    </row>
  </sheetData>
  <sheetProtection sheet="1" selectLockedCells="1"/>
  <mergeCells count="148">
    <mergeCell ref="J54:K54"/>
    <mergeCell ref="L54:M54"/>
    <mergeCell ref="C95:N95"/>
    <mergeCell ref="D54:E54"/>
    <mergeCell ref="B59:C59"/>
    <mergeCell ref="L55:M55"/>
    <mergeCell ref="L56:M56"/>
    <mergeCell ref="L57:M57"/>
    <mergeCell ref="J59:J60"/>
    <mergeCell ref="J55:J57"/>
    <mergeCell ref="L59:M59"/>
    <mergeCell ref="L60:M60"/>
    <mergeCell ref="D62:E64"/>
    <mergeCell ref="F62:G64"/>
    <mergeCell ref="L63:M63"/>
    <mergeCell ref="J63:K63"/>
    <mergeCell ref="J64:M64"/>
    <mergeCell ref="C66:M66"/>
    <mergeCell ref="B8:N8"/>
    <mergeCell ref="B12:N12"/>
    <mergeCell ref="B13:N13"/>
    <mergeCell ref="B14:N14"/>
    <mergeCell ref="B15:N15"/>
    <mergeCell ref="B16:N16"/>
    <mergeCell ref="B17:N17"/>
    <mergeCell ref="B54:C54"/>
    <mergeCell ref="K21:K22"/>
    <mergeCell ref="D50:F50"/>
    <mergeCell ref="G50:I50"/>
    <mergeCell ref="D46:F46"/>
    <mergeCell ref="K27:K28"/>
    <mergeCell ref="C27:C28"/>
    <mergeCell ref="D42:F42"/>
    <mergeCell ref="B40:M40"/>
    <mergeCell ref="L42:M43"/>
    <mergeCell ref="J42:K42"/>
    <mergeCell ref="L50:M51"/>
    <mergeCell ref="M19:M20"/>
    <mergeCell ref="J19:J20"/>
    <mergeCell ref="K19:K20"/>
    <mergeCell ref="L19:L20"/>
    <mergeCell ref="J25:J26"/>
    <mergeCell ref="L23:L24"/>
    <mergeCell ref="M23:M24"/>
    <mergeCell ref="J23:J24"/>
    <mergeCell ref="L52:M52"/>
    <mergeCell ref="N27:N28"/>
    <mergeCell ref="M27:M28"/>
    <mergeCell ref="J27:J28"/>
    <mergeCell ref="L27:L28"/>
    <mergeCell ref="J50:K50"/>
    <mergeCell ref="B32:N32"/>
    <mergeCell ref="B33:N33"/>
    <mergeCell ref="B35:C36"/>
    <mergeCell ref="L46:M47"/>
    <mergeCell ref="L48:M48"/>
    <mergeCell ref="A25:B26"/>
    <mergeCell ref="A27:B28"/>
    <mergeCell ref="G46:I46"/>
    <mergeCell ref="B42:C44"/>
    <mergeCell ref="G42:I42"/>
    <mergeCell ref="B30:E30"/>
    <mergeCell ref="J46:K46"/>
    <mergeCell ref="C25:C26"/>
    <mergeCell ref="L44:M44"/>
    <mergeCell ref="A21:B22"/>
    <mergeCell ref="A23:B24"/>
    <mergeCell ref="B11:N11"/>
    <mergeCell ref="K25:K26"/>
    <mergeCell ref="L25:L26"/>
    <mergeCell ref="M25:M26"/>
    <mergeCell ref="N21:N22"/>
    <mergeCell ref="N23:N24"/>
    <mergeCell ref="N25:N26"/>
    <mergeCell ref="J21:J22"/>
    <mergeCell ref="I19:I20"/>
    <mergeCell ref="C4:E4"/>
    <mergeCell ref="A19:B20"/>
    <mergeCell ref="L21:L22"/>
    <mergeCell ref="M21:M22"/>
    <mergeCell ref="B46:C48"/>
    <mergeCell ref="K23:K24"/>
    <mergeCell ref="C21:C22"/>
    <mergeCell ref="C23:C24"/>
    <mergeCell ref="B9:N9"/>
    <mergeCell ref="N19:N20"/>
    <mergeCell ref="B2:M2"/>
    <mergeCell ref="B6:E6"/>
    <mergeCell ref="G4:I4"/>
    <mergeCell ref="C19:C20"/>
    <mergeCell ref="G19:G20"/>
    <mergeCell ref="E19:F19"/>
    <mergeCell ref="D19:D20"/>
    <mergeCell ref="H19:H20"/>
    <mergeCell ref="B10:N10"/>
    <mergeCell ref="B69:M69"/>
    <mergeCell ref="B71:C74"/>
    <mergeCell ref="D71:F71"/>
    <mergeCell ref="G71:I71"/>
    <mergeCell ref="J71:L71"/>
    <mergeCell ref="M71:N73"/>
    <mergeCell ref="D72:E72"/>
    <mergeCell ref="G72:H72"/>
    <mergeCell ref="B50:C52"/>
    <mergeCell ref="J72:K72"/>
    <mergeCell ref="M74:N74"/>
    <mergeCell ref="M84:N84"/>
    <mergeCell ref="B76:C79"/>
    <mergeCell ref="D76:F76"/>
    <mergeCell ref="G76:I76"/>
    <mergeCell ref="J76:L76"/>
    <mergeCell ref="M76:N78"/>
    <mergeCell ref="D77:E77"/>
    <mergeCell ref="G77:H77"/>
    <mergeCell ref="J77:K77"/>
    <mergeCell ref="M79:N79"/>
    <mergeCell ref="J87:K87"/>
    <mergeCell ref="M89:N89"/>
    <mergeCell ref="B81:C84"/>
    <mergeCell ref="D81:F81"/>
    <mergeCell ref="G81:I81"/>
    <mergeCell ref="J81:L81"/>
    <mergeCell ref="M81:N83"/>
    <mergeCell ref="M91:N92"/>
    <mergeCell ref="M93:N93"/>
    <mergeCell ref="D92:F92"/>
    <mergeCell ref="B86:C89"/>
    <mergeCell ref="D86:F86"/>
    <mergeCell ref="G86:I86"/>
    <mergeCell ref="J86:L86"/>
    <mergeCell ref="M86:N88"/>
    <mergeCell ref="G92:I92"/>
    <mergeCell ref="J82:K82"/>
    <mergeCell ref="B91:C93"/>
    <mergeCell ref="D91:F91"/>
    <mergeCell ref="G91:I91"/>
    <mergeCell ref="J91:L91"/>
    <mergeCell ref="D82:E82"/>
    <mergeCell ref="M35:N35"/>
    <mergeCell ref="M36:N36"/>
    <mergeCell ref="D87:E87"/>
    <mergeCell ref="G87:H87"/>
    <mergeCell ref="D93:F93"/>
    <mergeCell ref="A37:N37"/>
    <mergeCell ref="G93:I93"/>
    <mergeCell ref="J92:L92"/>
    <mergeCell ref="J93:L93"/>
    <mergeCell ref="G82:H82"/>
  </mergeCells>
  <dataValidations count="4">
    <dataValidation type="list" allowBlank="1" showInputMessage="1" showErrorMessage="1" sqref="N21:N22 N27:N28 N23:N24 N25:N26">
      <formula1>"有"</formula1>
    </dataValidation>
    <dataValidation type="whole" allowBlank="1" showInputMessage="1" showErrorMessage="1" sqref="C21:C28">
      <formula1>0</formula1>
      <formula2>200</formula2>
    </dataValidation>
    <dataValidation type="whole" allowBlank="1" showInputMessage="1" showErrorMessage="1" sqref="G21:H21 G23:H23 G25:H25 G27:H27 J36:K36">
      <formula1>-1000000000000</formula1>
      <formula2>1000000000000</formula2>
    </dataValidation>
    <dataValidation type="whole" allowBlank="1" showInputMessage="1" showErrorMessage="1" sqref="D21:F21 D23:F23 D25:F25 D27:F27 F36 H36 D36">
      <formula1>0</formula1>
      <formula2>1000000000000</formula2>
    </dataValidation>
  </dataValidations>
  <printOptions horizontalCentered="1" verticalCentered="1"/>
  <pageMargins left="0.3937007874015748" right="0.2362204724409449" top="0.1968503937007874" bottom="0.1968503937007874" header="0.2362204724409449" footer="0.15748031496062992"/>
  <pageSetup fitToHeight="0" horizontalDpi="600" verticalDpi="600" orientation="landscape" paperSize="9" scale="74" r:id="rId3"/>
  <rowBreaks count="2" manualBreakCount="2">
    <brk id="38" max="13" man="1"/>
    <brk id="67" max="1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(TS)須釜典子</cp:lastModifiedBy>
  <cp:lastPrinted>2023-07-07T01:42:00Z</cp:lastPrinted>
  <dcterms:modified xsi:type="dcterms:W3CDTF">2023-07-10T05:37:26Z</dcterms:modified>
  <cp:category/>
  <cp:version/>
  <cp:contentType/>
  <cp:contentStatus/>
</cp:coreProperties>
</file>